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Oct timimg impact " sheetId="1" r:id="rId1"/>
    <sheet name="All DNs" sheetId="2" r:id="rId2"/>
    <sheet name="Speaker notes " sheetId="3" r:id="rId3"/>
  </sheets>
  <definedNames>
    <definedName name="_xlnm.Print_Area" localSheetId="1">'All DNs'!$A$2:$I$57</definedName>
    <definedName name="_xlnm.Print_Area" localSheetId="2">'Speaker notes '!$B$1:$B$15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<sst xmlns="http://schemas.openxmlformats.org/spreadsheetml/2006/main" count="82" uniqueCount="79">
  <si>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 Oct 05</t>
  </si>
  <si>
    <t xml:space="preserve"> Oct 06</t>
  </si>
  <si>
    <t xml:space="preserve"> Oct 07</t>
  </si>
  <si>
    <t>Volume Driver</t>
  </si>
  <si>
    <t>2003 / 04</t>
  </si>
  <si>
    <t>2004 / 05</t>
  </si>
  <si>
    <t>2005 / 06</t>
  </si>
  <si>
    <t>2006 / 07</t>
  </si>
  <si>
    <t>2007/ 08</t>
  </si>
  <si>
    <t>Form of</t>
  </si>
  <si>
    <t>Control</t>
  </si>
  <si>
    <t>X</t>
  </si>
  <si>
    <t>Weighting</t>
  </si>
  <si>
    <t>Small User Volume &lt;5,861 MWh</t>
  </si>
  <si>
    <t>Large User Volume &gt;5,861 MWh</t>
  </si>
  <si>
    <t>Very Large User Volume &gt;1,465 GWh</t>
  </si>
  <si>
    <t>Total User Volume</t>
  </si>
  <si>
    <t>Composite LDZ Throughput</t>
  </si>
  <si>
    <t>Qt</t>
  </si>
  <si>
    <t>DNZt</t>
  </si>
  <si>
    <t>Cost Pass Through</t>
  </si>
  <si>
    <t>DNFt</t>
  </si>
  <si>
    <t>Repex Adjustment</t>
  </si>
  <si>
    <t>DNMRAt</t>
  </si>
  <si>
    <t>Shrinkage</t>
  </si>
  <si>
    <t>Exit Capacity Adj</t>
  </si>
  <si>
    <t>DNEXt</t>
  </si>
  <si>
    <t>Income Adj Events</t>
  </si>
  <si>
    <t>DNIAEt</t>
  </si>
  <si>
    <t>Allowed Revenue before K Adj</t>
  </si>
  <si>
    <t>Under / Over Recovery Brought Forward</t>
  </si>
  <si>
    <t>Final Allowed Revenue</t>
  </si>
  <si>
    <t>DNMRt</t>
  </si>
  <si>
    <t>Collected Revenue</t>
  </si>
  <si>
    <t>DNR</t>
  </si>
  <si>
    <t>Under / Over Recovery</t>
  </si>
  <si>
    <t>Barclays Base Rate</t>
  </si>
  <si>
    <t>Effective Interest Rate</t>
  </si>
  <si>
    <t>Interest Allowed</t>
  </si>
  <si>
    <t>Under / Over Recovery Carried Forward</t>
  </si>
  <si>
    <t>DNKt</t>
  </si>
  <si>
    <t>RPIt</t>
  </si>
  <si>
    <t>1 + RPIt - X</t>
  </si>
  <si>
    <t>Bt</t>
  </si>
  <si>
    <t>Dt</t>
  </si>
  <si>
    <t>Vt</t>
  </si>
  <si>
    <t>Wt</t>
  </si>
  <si>
    <t>Subtotal Pass through &amp; Incentive Revenue</t>
  </si>
  <si>
    <t>as a % of Allowed</t>
  </si>
  <si>
    <t>% of previous year</t>
  </si>
  <si>
    <t>Volume Driver( 20045 to 20067)</t>
  </si>
  <si>
    <t>Core Allowed Revenue £ millions</t>
  </si>
  <si>
    <t>RPI - X impact £m</t>
  </si>
  <si>
    <t>Volume driver impact £m</t>
  </si>
  <si>
    <t>I have used colour to remind me to cover various points including :</t>
  </si>
  <si>
    <t>1. An Opening core allowed following DN sales</t>
  </si>
  <si>
    <t>2. 2007/8 is a stand alone year with a new core allowed</t>
  </si>
  <si>
    <t>3. The % of Non Core allowed revenue</t>
  </si>
  <si>
    <t>4. How in 2007/8 the low volumes for 2006/7 result in an even higher allowed for 2007/8</t>
  </si>
  <si>
    <t>5. The impact the volume dirver had</t>
  </si>
  <si>
    <t>Note : All numbers are fictitious but I think representative of total DNs</t>
  </si>
  <si>
    <t>GDN Allowed v Collected revenue examples for shippers</t>
  </si>
  <si>
    <t>6. The impacts actual volumes have on sales</t>
  </si>
  <si>
    <t xml:space="preserve">Allowed </t>
  </si>
  <si>
    <t>Year 1</t>
  </si>
  <si>
    <t>Year 2</t>
  </si>
  <si>
    <t>Year 3</t>
  </si>
  <si>
    <t>Year 4</t>
  </si>
  <si>
    <t>Required in 2nd half</t>
  </si>
  <si>
    <t>Total Collected in year 2 with no price reduction in Oct</t>
  </si>
  <si>
    <t>Total collected in year 3 with no price change</t>
  </si>
  <si>
    <t>Total collected in year 4 with no price change</t>
  </si>
  <si>
    <t>Summary of price changes</t>
  </si>
  <si>
    <t>Oct Price changes</t>
  </si>
  <si>
    <t>Total collected in year 1 with no price change in Oct</t>
  </si>
  <si>
    <t>Impact of changing prices once a year in Oct - As is Collected</t>
  </si>
  <si>
    <t>Collected in 1st Half  = circa 45 % of annual colleced</t>
  </si>
  <si>
    <t>Without Price change based on vol assumptions circa 55 % of annual collected</t>
  </si>
  <si>
    <t>Allowed v Collected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</si>
</sst>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0_ ;[Red]\-#,##0.000\ "/>
    <numFmt numFmtId="167" formatCode="#,##0.0000"/>
    <numFmt numFmtId="168" formatCode="0.0000"/>
    <numFmt numFmtId="169" formatCode="#,##0.0_ ;[Red]\-#,##0.0\ "/>
    <numFmt numFmtId="170" formatCode="#,##0_ ;[Red]\-#,##0\ 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9" fontId="4" fillId="0" borderId="8" xfId="0" applyNumberFormat="1" applyFont="1" applyFill="1" applyBorder="1" applyAlignment="1">
      <alignment horizontal="center"/>
    </xf>
    <xf numFmtId="9" fontId="4" fillId="0" borderId="9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2" fillId="0" borderId="6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69" fontId="4" fillId="0" borderId="5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170" fontId="5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170" fontId="5" fillId="0" borderId="11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69" fontId="4" fillId="0" borderId="13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0" fontId="5" fillId="2" borderId="11" xfId="0" applyNumberFormat="1" applyFont="1" applyFill="1" applyBorder="1" applyAlignment="1">
      <alignment horizontal="center"/>
    </xf>
    <xf numFmtId="170" fontId="2" fillId="3" borderId="0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70" fontId="5" fillId="5" borderId="0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0" fontId="5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170" fontId="5" fillId="0" borderId="15" xfId="0" applyNumberFormat="1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/>
    </xf>
    <xf numFmtId="0" fontId="1" fillId="6" borderId="11" xfId="0" applyFont="1" applyFill="1" applyBorder="1" applyAlignment="1">
      <alignment horizontal="right"/>
    </xf>
    <xf numFmtId="164" fontId="2" fillId="6" borderId="11" xfId="0" applyNumberFormat="1" applyFont="1" applyFill="1" applyBorder="1" applyAlignment="1">
      <alignment horizontal="center"/>
    </xf>
    <xf numFmtId="170" fontId="2" fillId="6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right"/>
    </xf>
    <xf numFmtId="164" fontId="5" fillId="4" borderId="11" xfId="0" applyNumberFormat="1" applyFont="1" applyFill="1" applyBorder="1" applyAlignment="1">
      <alignment horizontal="center"/>
    </xf>
    <xf numFmtId="170" fontId="5" fillId="4" borderId="11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8" xfId="0" applyNumberFormat="1" applyFont="1" applyFill="1" applyBorder="1" applyAlignment="1">
      <alignment horizontal="center"/>
    </xf>
    <xf numFmtId="10" fontId="2" fillId="7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17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4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workbookViewId="0" topLeftCell="A1">
      <selection activeCell="C10" sqref="C10"/>
    </sheetView>
  </sheetViews>
  <sheetFormatPr defaultColWidth="9.140625" defaultRowHeight="12.75"/>
  <cols>
    <col min="2" max="2" width="68.28125" style="0" bestFit="1" customWidth="1"/>
    <col min="3" max="6" width="13.421875" style="0" bestFit="1" customWidth="1"/>
  </cols>
  <sheetData>
    <row r="2" ht="12.75">
      <c r="C2" s="92" t="s">
        <v>75</v>
      </c>
    </row>
    <row r="4" spans="3:6" ht="12.75">
      <c r="C4" s="31"/>
      <c r="D4" s="31"/>
      <c r="E4" s="31"/>
      <c r="F4" s="31"/>
    </row>
    <row r="5" spans="3:6" ht="12.75">
      <c r="C5" s="31" t="s">
        <v>64</v>
      </c>
      <c r="D5" s="31" t="s">
        <v>65</v>
      </c>
      <c r="E5" s="31" t="s">
        <v>66</v>
      </c>
      <c r="F5" s="31" t="s">
        <v>67</v>
      </c>
    </row>
    <row r="6" spans="2:6" ht="12.75">
      <c r="B6" t="s">
        <v>63</v>
      </c>
      <c r="C6" s="94">
        <v>1800000000</v>
      </c>
      <c r="D6" s="94">
        <f>+C6</f>
        <v>1800000000</v>
      </c>
      <c r="E6" s="94">
        <f>+D6</f>
        <v>1800000000</v>
      </c>
      <c r="F6" s="94">
        <f>+E6</f>
        <v>1800000000</v>
      </c>
    </row>
    <row r="7" spans="3:6" ht="12.75">
      <c r="C7" s="31"/>
      <c r="D7" s="31"/>
      <c r="E7" s="31"/>
      <c r="F7" s="31"/>
    </row>
    <row r="8" spans="3:6" ht="12.75">
      <c r="C8" s="31"/>
      <c r="D8" s="31"/>
      <c r="E8" s="31"/>
      <c r="F8" s="31"/>
    </row>
    <row r="9" spans="3:6" ht="12.75">
      <c r="C9" s="31"/>
      <c r="D9" s="31"/>
      <c r="E9" s="31"/>
      <c r="F9" s="31"/>
    </row>
    <row r="10" spans="2:6" ht="12.75">
      <c r="B10" t="s">
        <v>76</v>
      </c>
      <c r="C10" s="94">
        <f>0.45*2100000000</f>
        <v>945000000</v>
      </c>
      <c r="D10" s="94">
        <f>+C10*(1+C24)</f>
        <v>699545454.5454546</v>
      </c>
      <c r="E10" s="94">
        <f>+D10*(1+D24)</f>
        <v>900371900.8264465</v>
      </c>
      <c r="F10" s="94">
        <f>+E10*(1+E24)</f>
        <v>699379413.663866</v>
      </c>
    </row>
    <row r="11" spans="3:6" ht="12.75">
      <c r="C11" s="94"/>
      <c r="D11" s="94"/>
      <c r="E11" s="94"/>
      <c r="F11" s="94"/>
    </row>
    <row r="12" spans="2:6" ht="12.75">
      <c r="B12" t="s">
        <v>68</v>
      </c>
      <c r="C12" s="94">
        <f>+C6-C10</f>
        <v>855000000</v>
      </c>
      <c r="D12" s="94">
        <f>+D6-D10</f>
        <v>1100454545.4545455</v>
      </c>
      <c r="E12" s="94">
        <f>+E6-E10</f>
        <v>899628099.1735535</v>
      </c>
      <c r="F12" s="94">
        <f>+F6-F10</f>
        <v>1100620586.336134</v>
      </c>
    </row>
    <row r="13" spans="3:6" ht="12.75">
      <c r="C13" s="94"/>
      <c r="D13" s="94"/>
      <c r="E13" s="94"/>
      <c r="F13" s="94"/>
    </row>
    <row r="14" spans="2:6" ht="12.75">
      <c r="B14" t="s">
        <v>77</v>
      </c>
      <c r="C14" s="94">
        <f>0.55*2100000000</f>
        <v>1155000000</v>
      </c>
      <c r="D14" s="94">
        <f>+C12</f>
        <v>855000000</v>
      </c>
      <c r="E14" s="94">
        <f>+D12</f>
        <v>1100454545.4545455</v>
      </c>
      <c r="F14" s="94">
        <f>+E12</f>
        <v>899628099.1735535</v>
      </c>
    </row>
    <row r="15" spans="3:6" ht="12.75">
      <c r="C15" s="31"/>
      <c r="D15" s="31"/>
      <c r="E15" s="31"/>
      <c r="F15" s="31"/>
    </row>
    <row r="16" spans="3:6" ht="12.75">
      <c r="C16" s="31"/>
      <c r="D16" s="31"/>
      <c r="E16" s="31"/>
      <c r="F16" s="31"/>
    </row>
    <row r="17" spans="2:6" ht="12.75">
      <c r="B17" t="s">
        <v>74</v>
      </c>
      <c r="C17" s="94">
        <f>+C14+C10</f>
        <v>2100000000</v>
      </c>
      <c r="D17" s="31"/>
      <c r="E17" s="31"/>
      <c r="F17" s="31"/>
    </row>
    <row r="18" spans="2:6" ht="12.75">
      <c r="B18" t="s">
        <v>69</v>
      </c>
      <c r="C18" s="31"/>
      <c r="D18" s="94">
        <f>+D10+D14</f>
        <v>1554545454.5454545</v>
      </c>
      <c r="E18" s="31"/>
      <c r="F18" s="31"/>
    </row>
    <row r="19" spans="2:6" ht="12.75">
      <c r="B19" t="s">
        <v>70</v>
      </c>
      <c r="C19" s="31"/>
      <c r="D19" s="94"/>
      <c r="E19" s="94">
        <f>+E10+E14</f>
        <v>2000826446.280992</v>
      </c>
      <c r="F19" s="31"/>
    </row>
    <row r="20" spans="2:6" ht="12.75">
      <c r="B20" t="s">
        <v>71</v>
      </c>
      <c r="C20" s="31"/>
      <c r="D20" s="94"/>
      <c r="E20" s="94"/>
      <c r="F20" s="94">
        <f>+F14+F10</f>
        <v>1599007512.8374195</v>
      </c>
    </row>
    <row r="21" spans="3:6" ht="12.75">
      <c r="C21" s="31"/>
      <c r="D21" s="31"/>
      <c r="E21" s="31"/>
      <c r="F21" s="31"/>
    </row>
    <row r="22" spans="2:6" ht="12.75">
      <c r="B22" s="93" t="s">
        <v>78</v>
      </c>
      <c r="C22" s="97">
        <f>+C6-C14-C10</f>
        <v>-300000000</v>
      </c>
      <c r="D22" s="97">
        <f>+D6-D18</f>
        <v>245454545.4545455</v>
      </c>
      <c r="E22" s="97">
        <f>+E6-E19</f>
        <v>-200826446.28099203</v>
      </c>
      <c r="F22" s="97">
        <f>+F6-F20</f>
        <v>200992487.1625805</v>
      </c>
    </row>
    <row r="23" spans="3:6" ht="12.75">
      <c r="C23" s="31"/>
      <c r="D23" s="31"/>
      <c r="E23" s="31"/>
      <c r="F23" s="31"/>
    </row>
    <row r="24" spans="2:6" ht="12.75">
      <c r="B24" t="s">
        <v>73</v>
      </c>
      <c r="C24" s="95">
        <f>+C22/C14</f>
        <v>-0.2597402597402597</v>
      </c>
      <c r="D24" s="95">
        <f>+D22/D14</f>
        <v>0.2870813397129187</v>
      </c>
      <c r="E24" s="95">
        <f>+E22/E12</f>
        <v>-0.22323274080198469</v>
      </c>
      <c r="F24" s="95">
        <f>+F22/F12</f>
        <v>0.1826174157178599</v>
      </c>
    </row>
    <row r="25" spans="3:6" ht="12.75">
      <c r="C25" s="31"/>
      <c r="D25" s="31"/>
      <c r="E25" s="31"/>
      <c r="F25" s="31"/>
    </row>
    <row r="26" spans="3:6" ht="12.75">
      <c r="C26" s="31"/>
      <c r="D26" s="31"/>
      <c r="E26" s="31"/>
      <c r="F26" s="31"/>
    </row>
    <row r="27" spans="2:6" ht="12.75">
      <c r="B27" s="93" t="s">
        <v>72</v>
      </c>
      <c r="C27" s="96">
        <f>+C24</f>
        <v>-0.2597402597402597</v>
      </c>
      <c r="D27" s="96">
        <f>+D24</f>
        <v>0.2870813397129187</v>
      </c>
      <c r="E27" s="96">
        <f>+E24</f>
        <v>-0.22323274080198469</v>
      </c>
      <c r="F27" s="96">
        <f>+F24</f>
        <v>0.1826174157178599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6"/>
  <sheetViews>
    <sheetView tabSelected="1" workbookViewId="0" topLeftCell="A17">
      <selection activeCell="E44" sqref="E44"/>
    </sheetView>
  </sheetViews>
  <sheetFormatPr defaultColWidth="9.140625" defaultRowHeight="12.75"/>
  <cols>
    <col min="1" max="1" width="28.8515625" style="1" customWidth="1"/>
    <col min="2" max="2" width="12.140625" style="21" customWidth="1"/>
    <col min="3" max="3" width="12.8515625" style="28" customWidth="1"/>
    <col min="4" max="7" width="10.7109375" style="28" customWidth="1"/>
    <col min="8" max="8" width="5.140625" style="28" customWidth="1"/>
    <col min="9" max="9" width="14.421875" style="28" customWidth="1"/>
    <col min="10" max="16384" width="9.140625" style="1" customWidth="1"/>
  </cols>
  <sheetData>
    <row r="2" ht="11.25">
      <c r="B2" s="91" t="s">
        <v>61</v>
      </c>
    </row>
    <row r="4" spans="1:9" ht="12.75">
      <c r="A4"/>
      <c r="B4"/>
      <c r="C4" s="5"/>
      <c r="D4" s="5"/>
      <c r="E4" s="5" t="s">
        <v>0</v>
      </c>
      <c r="F4" s="5" t="s">
        <v>1</v>
      </c>
      <c r="G4" s="5" t="s">
        <v>2</v>
      </c>
      <c r="H4" s="12"/>
      <c r="I4" s="12"/>
    </row>
    <row r="5" spans="1:9" ht="12.75">
      <c r="A5"/>
      <c r="B5"/>
      <c r="C5" s="5" t="s">
        <v>50</v>
      </c>
      <c r="D5" s="5"/>
      <c r="E5" s="22"/>
      <c r="F5" s="22"/>
      <c r="G5" s="22"/>
      <c r="H5" s="12"/>
      <c r="I5" s="12"/>
    </row>
    <row r="6" spans="1:9" ht="12.75">
      <c r="A6"/>
      <c r="B6"/>
      <c r="C6" s="13">
        <v>0.65</v>
      </c>
      <c r="D6" s="5"/>
      <c r="E6" s="5"/>
      <c r="F6" s="12"/>
      <c r="G6" s="12"/>
      <c r="H6" s="12"/>
      <c r="I6" s="12"/>
    </row>
    <row r="7" spans="1:9" ht="12.75">
      <c r="A7"/>
      <c r="B7"/>
      <c r="C7" s="15">
        <v>0.35</v>
      </c>
      <c r="D7" s="5"/>
      <c r="E7" s="5"/>
      <c r="F7" s="12"/>
      <c r="G7" s="12"/>
      <c r="H7" s="12"/>
      <c r="I7" s="12"/>
    </row>
    <row r="8" spans="1:9" ht="12.75">
      <c r="A8"/>
      <c r="B8"/>
      <c r="C8" s="23"/>
      <c r="D8" s="5"/>
      <c r="E8" s="5"/>
      <c r="F8" s="12"/>
      <c r="G8" s="12"/>
      <c r="H8" s="12"/>
      <c r="I8" s="12"/>
    </row>
    <row r="9" spans="1:12" ht="11.25">
      <c r="A9" s="7"/>
      <c r="B9" s="3"/>
      <c r="C9" s="24" t="s">
        <v>4</v>
      </c>
      <c r="D9" s="25" t="s">
        <v>5</v>
      </c>
      <c r="E9" s="25" t="s">
        <v>6</v>
      </c>
      <c r="F9" s="26" t="s">
        <v>7</v>
      </c>
      <c r="G9" s="87" t="s">
        <v>8</v>
      </c>
      <c r="H9" s="12"/>
      <c r="I9" s="12"/>
      <c r="L9" s="8"/>
    </row>
    <row r="10" spans="1:12" ht="11.25">
      <c r="A10" s="4" t="s">
        <v>9</v>
      </c>
      <c r="B10" s="9" t="s">
        <v>41</v>
      </c>
      <c r="C10" s="27"/>
      <c r="D10" s="23">
        <v>0.0279</v>
      </c>
      <c r="E10" s="23">
        <v>0.03253518552367041</v>
      </c>
      <c r="F10" s="23">
        <v>0.025756771109930687</v>
      </c>
      <c r="G10" s="88">
        <v>0.037190439209595416</v>
      </c>
      <c r="H10" s="12"/>
      <c r="I10" s="12"/>
      <c r="L10" s="8"/>
    </row>
    <row r="11" spans="1:12" ht="11.25">
      <c r="A11" s="7" t="s">
        <v>10</v>
      </c>
      <c r="B11" s="10" t="s">
        <v>11</v>
      </c>
      <c r="C11" s="27"/>
      <c r="D11" s="23">
        <v>0.02</v>
      </c>
      <c r="E11" s="23">
        <v>0.02</v>
      </c>
      <c r="F11" s="23">
        <v>0.02</v>
      </c>
      <c r="G11" s="89">
        <v>0.02</v>
      </c>
      <c r="I11" s="12"/>
      <c r="K11" s="8"/>
      <c r="L11" s="8"/>
    </row>
    <row r="12" spans="1:13" ht="11.25">
      <c r="A12" s="6"/>
      <c r="B12" s="11" t="s">
        <v>42</v>
      </c>
      <c r="C12" s="29"/>
      <c r="D12" s="30">
        <f>1+D10-D11</f>
        <v>1.0079</v>
      </c>
      <c r="E12" s="30">
        <f>1+E10-E11</f>
        <v>1.0125351855236704</v>
      </c>
      <c r="F12" s="30">
        <f>1+F10-F11</f>
        <v>1.0057567711099307</v>
      </c>
      <c r="G12" s="90">
        <f>1+G10-G11</f>
        <v>1.0171904392095954</v>
      </c>
      <c r="I12" s="12" t="s">
        <v>12</v>
      </c>
      <c r="K12" s="8"/>
      <c r="L12" s="8"/>
      <c r="M12" s="8"/>
    </row>
    <row r="13" spans="1:13" ht="11.25">
      <c r="A13" s="7"/>
      <c r="B13" s="10"/>
      <c r="C13" s="41"/>
      <c r="D13" s="40"/>
      <c r="E13" s="40"/>
      <c r="F13" s="40"/>
      <c r="G13" s="40"/>
      <c r="I13" s="12"/>
      <c r="K13" s="8"/>
      <c r="L13" s="8"/>
      <c r="M13" s="8"/>
    </row>
    <row r="14" spans="1:12" ht="11.25">
      <c r="A14" s="46" t="s">
        <v>13</v>
      </c>
      <c r="B14" s="47" t="s">
        <v>43</v>
      </c>
      <c r="C14" s="48">
        <v>434484.5146867831</v>
      </c>
      <c r="D14" s="48">
        <v>430348.6892673718</v>
      </c>
      <c r="E14" s="48">
        <v>446310.7893312028</v>
      </c>
      <c r="F14" s="48">
        <v>378246.55362080166</v>
      </c>
      <c r="G14" s="48">
        <v>382530.10862823605</v>
      </c>
      <c r="I14" s="13">
        <v>1</v>
      </c>
      <c r="L14" s="8"/>
    </row>
    <row r="15" spans="1:9" ht="11.25">
      <c r="A15" s="46" t="s">
        <v>14</v>
      </c>
      <c r="B15" s="47" t="s">
        <v>44</v>
      </c>
      <c r="C15" s="48">
        <v>160363.57740121696</v>
      </c>
      <c r="D15" s="48">
        <v>149716.94366389958</v>
      </c>
      <c r="E15" s="48">
        <v>144284.85650879718</v>
      </c>
      <c r="F15" s="48">
        <v>133331.8784308133</v>
      </c>
      <c r="G15" s="48">
        <v>132304.70839673135</v>
      </c>
      <c r="I15" s="14">
        <v>0.15</v>
      </c>
    </row>
    <row r="16" spans="1:9" ht="11.25">
      <c r="A16" s="46" t="s">
        <v>15</v>
      </c>
      <c r="B16" s="47" t="s">
        <v>45</v>
      </c>
      <c r="C16" s="48">
        <v>36875.047640000004</v>
      </c>
      <c r="D16" s="48">
        <v>55217.046152</v>
      </c>
      <c r="E16" s="48">
        <v>47213.883408</v>
      </c>
      <c r="F16" s="48">
        <v>43807.28980800001</v>
      </c>
      <c r="G16" s="48">
        <v>45660.30056529912</v>
      </c>
      <c r="I16" s="15">
        <v>0.05</v>
      </c>
    </row>
    <row r="17" spans="1:9" ht="11.25">
      <c r="A17" s="46" t="s">
        <v>16</v>
      </c>
      <c r="B17" s="49"/>
      <c r="C17" s="48">
        <f>+C14+C15+C16</f>
        <v>631723.139728</v>
      </c>
      <c r="D17" s="48">
        <f>+D14+D15+D16</f>
        <v>635282.6790832713</v>
      </c>
      <c r="E17" s="48">
        <f>+E14+E15+E16</f>
        <v>637809.529248</v>
      </c>
      <c r="F17" s="48">
        <f>+F14+F15+F16</f>
        <v>555385.721859615</v>
      </c>
      <c r="G17" s="48">
        <f>+G14+G15+G16</f>
        <v>560495.1175902665</v>
      </c>
      <c r="I17" s="12"/>
    </row>
    <row r="18" spans="1:9" ht="11.25">
      <c r="A18" s="7"/>
      <c r="B18" s="43"/>
      <c r="C18" s="44"/>
      <c r="D18" s="44"/>
      <c r="E18" s="44"/>
      <c r="F18" s="44"/>
      <c r="G18" s="44"/>
      <c r="I18" s="12"/>
    </row>
    <row r="19" spans="1:9" ht="12.75">
      <c r="A19" s="46" t="s">
        <v>17</v>
      </c>
      <c r="B19" s="47" t="s">
        <v>46</v>
      </c>
      <c r="C19" s="50">
        <f>C14*$I$14+C15*$I$15+C16*$I$16</f>
        <v>460382.8036789656</v>
      </c>
      <c r="D19" s="50">
        <f>D14*$I$14+D15*$I$15+D16*$I$16</f>
        <v>455567.08312455675</v>
      </c>
      <c r="E19" s="50">
        <f>E14*$I$14+E15*$I$15+E16*$I$16</f>
        <v>470314.21197792236</v>
      </c>
      <c r="F19" s="50">
        <f>F14*$I$14+F15*$I$15+F16*$I$16</f>
        <v>400436.69987582363</v>
      </c>
      <c r="G19" s="50">
        <f>G14*$I$14+G15*$I$15+G16*$I$16</f>
        <v>404658.8299160107</v>
      </c>
      <c r="I19" s="31"/>
    </row>
    <row r="20" spans="1:9" ht="12.75">
      <c r="A20" s="7"/>
      <c r="B20" s="10"/>
      <c r="C20" s="5"/>
      <c r="D20" s="5"/>
      <c r="E20" s="5"/>
      <c r="F20" s="5"/>
      <c r="G20" s="5"/>
      <c r="I20" s="31"/>
    </row>
    <row r="21" spans="1:9" ht="12.75">
      <c r="A21" s="46" t="s">
        <v>3</v>
      </c>
      <c r="B21" s="47" t="s">
        <v>18</v>
      </c>
      <c r="C21" s="51"/>
      <c r="D21" s="51">
        <f>($C$7*D19/C19)+$C$6</f>
        <v>0.9963389114871927</v>
      </c>
      <c r="E21" s="51">
        <f>($C$7*E19/D19)+$C$6</f>
        <v>1.011329824497585</v>
      </c>
      <c r="F21" s="51">
        <f>($C$7*F19/E19)+$C$6</f>
        <v>0.9479983198192561</v>
      </c>
      <c r="G21" s="66">
        <v>0</v>
      </c>
      <c r="I21" s="31"/>
    </row>
    <row r="22" spans="1:9" ht="12.75">
      <c r="A22" s="7"/>
      <c r="B22" s="10"/>
      <c r="C22" s="41"/>
      <c r="D22" s="40"/>
      <c r="E22" s="40"/>
      <c r="F22" s="40"/>
      <c r="G22" s="40"/>
      <c r="I22" s="31"/>
    </row>
    <row r="23" spans="1:9" ht="12.75">
      <c r="A23" s="7" t="s">
        <v>52</v>
      </c>
      <c r="B23" s="10"/>
      <c r="C23" s="41"/>
      <c r="D23" s="36">
        <f>+(D10-D11)*C26</f>
        <v>12.969154321600003</v>
      </c>
      <c r="E23" s="36">
        <f>+(E10-E11)*D26</f>
        <v>20.66580741131207</v>
      </c>
      <c r="F23" s="36">
        <f>+(F10-F11)*E26</f>
        <v>9.717247747236867</v>
      </c>
      <c r="G23" s="40"/>
      <c r="I23" s="31"/>
    </row>
    <row r="24" spans="1:9" ht="12.75">
      <c r="A24" s="7" t="s">
        <v>53</v>
      </c>
      <c r="B24" s="10"/>
      <c r="C24" s="41"/>
      <c r="D24" s="36">
        <f>+(D21*C26)-C26</f>
        <v>-6.010281254131087</v>
      </c>
      <c r="E24" s="36">
        <f>+(E21*D26)-D26</f>
        <v>18.678620322684992</v>
      </c>
      <c r="F24" s="65">
        <f>+(F21*E26)-E26</f>
        <v>-87.77719314168621</v>
      </c>
      <c r="G24" s="40"/>
      <c r="I24" s="31"/>
    </row>
    <row r="25" spans="1:9" ht="12.75">
      <c r="A25" s="7"/>
      <c r="B25" s="10"/>
      <c r="C25" s="41"/>
      <c r="D25" s="40"/>
      <c r="E25" s="40"/>
      <c r="F25" s="40"/>
      <c r="G25" s="40"/>
      <c r="I25" s="31"/>
    </row>
    <row r="26" spans="1:9" ht="12.75">
      <c r="A26" s="46" t="s">
        <v>51</v>
      </c>
      <c r="B26" s="47" t="s">
        <v>19</v>
      </c>
      <c r="C26" s="64">
        <v>1641.6651040000002</v>
      </c>
      <c r="D26" s="52">
        <f>+C26+D23+D24</f>
        <v>1648.623977067469</v>
      </c>
      <c r="E26" s="52">
        <f>+D26+E23+E24</f>
        <v>1687.968404801466</v>
      </c>
      <c r="F26" s="52">
        <f>+E26+F23+F24</f>
        <v>1609.9084594070166</v>
      </c>
      <c r="G26" s="64">
        <v>1830</v>
      </c>
      <c r="I26" s="31"/>
    </row>
    <row r="27" spans="1:9" ht="12.75">
      <c r="A27" s="7" t="s">
        <v>49</v>
      </c>
      <c r="B27" s="10"/>
      <c r="C27" s="45"/>
      <c r="D27" s="42">
        <f>+(D26/C26)</f>
        <v>1.0042389114871926</v>
      </c>
      <c r="E27" s="42">
        <f>+(E26/D26)</f>
        <v>1.0238650100212554</v>
      </c>
      <c r="F27" s="42">
        <f>+(F26/E26)</f>
        <v>0.9537550909291868</v>
      </c>
      <c r="G27" s="42">
        <f>+(G26/F26)</f>
        <v>1.136710593268173</v>
      </c>
      <c r="I27" s="31"/>
    </row>
    <row r="28" spans="1:9" ht="12.75">
      <c r="A28" s="7"/>
      <c r="B28" s="10"/>
      <c r="C28" s="45"/>
      <c r="D28" s="32"/>
      <c r="E28" s="32"/>
      <c r="F28" s="32"/>
      <c r="G28" s="32"/>
      <c r="I28" s="31"/>
    </row>
    <row r="29" spans="1:9" ht="12.75">
      <c r="A29" s="7" t="s">
        <v>20</v>
      </c>
      <c r="B29" s="10" t="s">
        <v>21</v>
      </c>
      <c r="C29" s="33"/>
      <c r="D29" s="34">
        <v>146.4</v>
      </c>
      <c r="E29" s="34">
        <v>164.933736</v>
      </c>
      <c r="F29" s="34">
        <v>182.624</v>
      </c>
      <c r="G29" s="34">
        <v>218.16</v>
      </c>
      <c r="I29" s="63"/>
    </row>
    <row r="30" spans="1:9" ht="11.25">
      <c r="A30" s="7" t="s">
        <v>22</v>
      </c>
      <c r="B30" s="10" t="s">
        <v>23</v>
      </c>
      <c r="C30" s="33"/>
      <c r="D30" s="34">
        <v>3.480528634361235</v>
      </c>
      <c r="E30" s="34">
        <v>11.799118942731326</v>
      </c>
      <c r="F30" s="34">
        <v>17.768</v>
      </c>
      <c r="G30" s="34">
        <v>-0.8</v>
      </c>
      <c r="H30" s="12"/>
      <c r="I30" s="12"/>
    </row>
    <row r="31" spans="1:9" ht="11.25">
      <c r="A31" s="7" t="s">
        <v>24</v>
      </c>
      <c r="B31" s="10"/>
      <c r="C31" s="33"/>
      <c r="D31" s="34">
        <v>0</v>
      </c>
      <c r="E31" s="34">
        <v>0</v>
      </c>
      <c r="F31" s="34">
        <v>0</v>
      </c>
      <c r="G31" s="34">
        <v>59.2</v>
      </c>
      <c r="H31" s="12"/>
      <c r="I31" s="12"/>
    </row>
    <row r="32" spans="1:9" ht="11.25">
      <c r="A32" s="7" t="s">
        <v>25</v>
      </c>
      <c r="B32" s="10" t="s">
        <v>26</v>
      </c>
      <c r="C32" s="33"/>
      <c r="D32" s="34">
        <v>0</v>
      </c>
      <c r="E32" s="34">
        <v>2.9395608319999824</v>
      </c>
      <c r="F32" s="34">
        <v>-6.72</v>
      </c>
      <c r="G32" s="34">
        <v>0</v>
      </c>
      <c r="H32" s="12"/>
      <c r="I32" s="12"/>
    </row>
    <row r="33" spans="1:9" ht="11.25">
      <c r="A33" s="7" t="s">
        <v>27</v>
      </c>
      <c r="B33" s="10" t="s">
        <v>28</v>
      </c>
      <c r="C33" s="33"/>
      <c r="D33" s="34">
        <v>0</v>
      </c>
      <c r="E33" s="34">
        <v>0</v>
      </c>
      <c r="F33" s="34">
        <v>0</v>
      </c>
      <c r="G33" s="34">
        <v>0</v>
      </c>
      <c r="H33" s="12"/>
      <c r="I33" s="12"/>
    </row>
    <row r="34" spans="1:9" ht="11.25">
      <c r="A34" s="7"/>
      <c r="B34" s="10"/>
      <c r="C34" s="33"/>
      <c r="D34" s="34"/>
      <c r="E34" s="34"/>
      <c r="F34" s="34"/>
      <c r="G34" s="34"/>
      <c r="H34" s="12"/>
      <c r="I34" s="12"/>
    </row>
    <row r="35" spans="1:9" ht="11.25">
      <c r="A35" s="56" t="s">
        <v>47</v>
      </c>
      <c r="B35" s="57"/>
      <c r="C35" s="58"/>
      <c r="D35" s="59">
        <f>SUM(D29:D33)</f>
        <v>149.88052863436124</v>
      </c>
      <c r="E35" s="59">
        <f>SUM(E29:E33)</f>
        <v>179.67241577473132</v>
      </c>
      <c r="F35" s="59">
        <f>SUM(F29:F33)</f>
        <v>193.672</v>
      </c>
      <c r="G35" s="59">
        <f>SUM(G29:G33)</f>
        <v>276.56</v>
      </c>
      <c r="H35" s="12"/>
      <c r="I35" s="12"/>
    </row>
    <row r="36" spans="1:9" ht="11.25">
      <c r="A36" s="7" t="s">
        <v>48</v>
      </c>
      <c r="B36" s="10"/>
      <c r="C36" s="33"/>
      <c r="D36" s="60">
        <f>+D35/D26</f>
        <v>0.09091250080019155</v>
      </c>
      <c r="E36" s="60">
        <f>+E35/E26</f>
        <v>0.10644299695637009</v>
      </c>
      <c r="F36" s="60">
        <f>+F35/F26</f>
        <v>0.12030000766089266</v>
      </c>
      <c r="G36" s="60">
        <f>+G35/G26</f>
        <v>0.1511256830601093</v>
      </c>
      <c r="H36" s="12"/>
      <c r="I36" s="12"/>
    </row>
    <row r="37" spans="1:9" ht="11.25">
      <c r="A37" s="7"/>
      <c r="B37" s="10"/>
      <c r="C37" s="33"/>
      <c r="D37" s="34"/>
      <c r="E37" s="34"/>
      <c r="F37" s="34"/>
      <c r="G37" s="34"/>
      <c r="H37" s="12"/>
      <c r="I37" s="12"/>
    </row>
    <row r="38" spans="1:9" ht="11.25">
      <c r="A38" s="46" t="s">
        <v>29</v>
      </c>
      <c r="B38" s="49"/>
      <c r="C38" s="61"/>
      <c r="D38" s="62">
        <f>+D26+D35</f>
        <v>1798.5045057018303</v>
      </c>
      <c r="E38" s="62">
        <f>+E26+E35</f>
        <v>1867.6408205761973</v>
      </c>
      <c r="F38" s="62">
        <f>+F26+F35</f>
        <v>1803.5804594070166</v>
      </c>
      <c r="G38" s="62">
        <f>+G26+G35</f>
        <v>2106.56</v>
      </c>
      <c r="H38" s="12"/>
      <c r="I38" s="12"/>
    </row>
    <row r="39" spans="1:9" ht="11.25">
      <c r="A39" s="7"/>
      <c r="B39" s="43"/>
      <c r="C39" s="53"/>
      <c r="D39" s="36"/>
      <c r="E39" s="36"/>
      <c r="F39" s="36"/>
      <c r="G39" s="36"/>
      <c r="H39" s="12"/>
      <c r="I39" s="12"/>
    </row>
    <row r="40" spans="1:9" ht="11.25">
      <c r="A40" s="7" t="s">
        <v>30</v>
      </c>
      <c r="B40" s="10" t="s">
        <v>40</v>
      </c>
      <c r="C40" s="35"/>
      <c r="D40" s="36">
        <v>-17.638344</v>
      </c>
      <c r="E40" s="32">
        <f>-D56</f>
        <v>-12.771568233268837</v>
      </c>
      <c r="F40" s="32">
        <f>-E56</f>
        <v>-9.290421777071384</v>
      </c>
      <c r="G40" s="67">
        <f>-F56</f>
        <v>27.396920749945586</v>
      </c>
      <c r="H40" s="12"/>
      <c r="I40" s="12"/>
    </row>
    <row r="41" spans="1:9" ht="11.25">
      <c r="A41" s="7"/>
      <c r="B41" s="10"/>
      <c r="C41" s="35"/>
      <c r="D41" s="36"/>
      <c r="E41" s="32"/>
      <c r="F41" s="32"/>
      <c r="G41" s="32"/>
      <c r="H41" s="12"/>
      <c r="I41" s="12"/>
    </row>
    <row r="42" spans="1:9" s="2" customFormat="1" ht="11.25">
      <c r="A42" s="79" t="s">
        <v>31</v>
      </c>
      <c r="B42" s="80" t="s">
        <v>32</v>
      </c>
      <c r="C42" s="81"/>
      <c r="D42" s="82">
        <f>+D38+D40</f>
        <v>1780.8661617018304</v>
      </c>
      <c r="E42" s="82">
        <f>+E38+E40</f>
        <v>1854.8692523429283</v>
      </c>
      <c r="F42" s="82">
        <f>+F38+F40</f>
        <v>1794.2900376299453</v>
      </c>
      <c r="G42" s="82">
        <f>+G38+G40</f>
        <v>2133.9569207499453</v>
      </c>
      <c r="H42" s="12"/>
      <c r="I42" s="12"/>
    </row>
    <row r="43" spans="1:9" s="18" customFormat="1" ht="11.25">
      <c r="A43" s="7" t="s">
        <v>49</v>
      </c>
      <c r="B43" s="76"/>
      <c r="C43" s="77"/>
      <c r="D43" s="78"/>
      <c r="E43" s="42">
        <f>+(E42/D42)</f>
        <v>1.0415545492595464</v>
      </c>
      <c r="F43" s="42">
        <f>+(F42/E42)</f>
        <v>0.967340439421019</v>
      </c>
      <c r="G43" s="42">
        <f>+(G42/F42)</f>
        <v>1.1893043354176238</v>
      </c>
      <c r="H43" s="38"/>
      <c r="I43" s="38"/>
    </row>
    <row r="44" spans="1:9" s="18" customFormat="1" ht="11.25">
      <c r="A44" s="16"/>
      <c r="B44" s="17"/>
      <c r="C44" s="38"/>
      <c r="D44" s="36"/>
      <c r="E44" s="36"/>
      <c r="F44" s="36"/>
      <c r="G44" s="36"/>
      <c r="H44" s="38"/>
      <c r="I44" s="38"/>
    </row>
    <row r="45" spans="1:9" s="18" customFormat="1" ht="11.25">
      <c r="A45" s="16"/>
      <c r="B45" s="17"/>
      <c r="C45" s="38"/>
      <c r="D45" s="36"/>
      <c r="E45" s="36"/>
      <c r="F45" s="36"/>
      <c r="G45" s="36"/>
      <c r="H45" s="38"/>
      <c r="I45" s="38"/>
    </row>
    <row r="46" spans="1:9" ht="12.75">
      <c r="A46" s="83" t="s">
        <v>33</v>
      </c>
      <c r="B46" s="84" t="s">
        <v>34</v>
      </c>
      <c r="C46" s="85"/>
      <c r="D46" s="86">
        <v>1792.7191249350992</v>
      </c>
      <c r="E46" s="86">
        <v>1863.4914531199997</v>
      </c>
      <c r="F46" s="86">
        <v>1768.1354588799998</v>
      </c>
      <c r="G46" s="86">
        <v>2151.28787272</v>
      </c>
      <c r="H46" s="39"/>
      <c r="I46" s="12"/>
    </row>
    <row r="47" spans="1:9" ht="12.75">
      <c r="A47" s="7"/>
      <c r="B47" s="54"/>
      <c r="C47" s="55"/>
      <c r="D47" s="32"/>
      <c r="E47" s="32"/>
      <c r="F47" s="32"/>
      <c r="G47" s="32"/>
      <c r="H47" s="39"/>
      <c r="I47" s="12"/>
    </row>
    <row r="48" spans="1:9" s="2" customFormat="1" ht="11.25">
      <c r="A48" s="46" t="s">
        <v>35</v>
      </c>
      <c r="B48" s="49"/>
      <c r="C48" s="74"/>
      <c r="D48" s="52">
        <f>+D46-D42</f>
        <v>11.852963233268838</v>
      </c>
      <c r="E48" s="52">
        <f>+E46-E42</f>
        <v>8.622200777071384</v>
      </c>
      <c r="F48" s="52">
        <f>+F46-F42</f>
        <v>-26.154578749945586</v>
      </c>
      <c r="G48" s="52">
        <f>+G46-G42</f>
        <v>17.330951970054684</v>
      </c>
      <c r="H48" s="22"/>
      <c r="I48" s="12"/>
    </row>
    <row r="49" spans="1:9" s="2" customFormat="1" ht="11.25">
      <c r="A49" s="7"/>
      <c r="B49" s="3"/>
      <c r="C49" s="73"/>
      <c r="D49" s="75">
        <f>+D48/D42</f>
        <v>0.0066557293794284435</v>
      </c>
      <c r="E49" s="75">
        <f>+E48/E42</f>
        <v>0.004648414310701675</v>
      </c>
      <c r="F49" s="75">
        <f>+F48/F42</f>
        <v>-0.014576561314743091</v>
      </c>
      <c r="G49" s="75">
        <f>+G48/G42</f>
        <v>0.008121509765044365</v>
      </c>
      <c r="H49" s="22"/>
      <c r="I49" s="12"/>
    </row>
    <row r="50" spans="1:9" s="2" customFormat="1" ht="11.25">
      <c r="A50" s="7"/>
      <c r="B50" s="3"/>
      <c r="C50" s="73"/>
      <c r="D50" s="32"/>
      <c r="E50" s="32"/>
      <c r="F50" s="32"/>
      <c r="G50" s="32"/>
      <c r="H50" s="22"/>
      <c r="I50" s="12"/>
    </row>
    <row r="51" spans="1:9" s="18" customFormat="1" ht="11.25">
      <c r="A51" s="16" t="s">
        <v>36</v>
      </c>
      <c r="B51" s="17"/>
      <c r="C51" s="27"/>
      <c r="D51" s="68">
        <v>0.0475</v>
      </c>
      <c r="E51" s="68">
        <v>0.0475</v>
      </c>
      <c r="F51" s="68">
        <v>0.0475</v>
      </c>
      <c r="G51" s="68">
        <v>0.0475</v>
      </c>
      <c r="H51" s="40"/>
      <c r="I51" s="40"/>
    </row>
    <row r="52" spans="1:9" s="18" customFormat="1" ht="11.25">
      <c r="A52" s="16" t="s">
        <v>37</v>
      </c>
      <c r="B52" s="17"/>
      <c r="C52" s="71"/>
      <c r="D52" s="69">
        <f>IF(D48&lt;0,D51,D51+0.03)</f>
        <v>0.0775</v>
      </c>
      <c r="E52" s="69">
        <f>IF(E48&lt;0,E51,E51+0.03)</f>
        <v>0.0775</v>
      </c>
      <c r="F52" s="69">
        <f>IF(F48&lt;0,F51,F51+0.03)</f>
        <v>0.0475</v>
      </c>
      <c r="G52" s="69">
        <f>IF(G48&lt;0,G51,G51+0.03)</f>
        <v>0.0775</v>
      </c>
      <c r="H52" s="38"/>
      <c r="I52" s="38"/>
    </row>
    <row r="53" spans="1:9" s="18" customFormat="1" ht="11.25">
      <c r="A53" s="16"/>
      <c r="B53" s="17"/>
      <c r="C53" s="71"/>
      <c r="D53" s="69"/>
      <c r="E53" s="69"/>
      <c r="F53" s="69"/>
      <c r="G53" s="69"/>
      <c r="H53" s="38"/>
      <c r="I53" s="38"/>
    </row>
    <row r="54" spans="1:9" s="18" customFormat="1" ht="11.25">
      <c r="A54" s="16" t="s">
        <v>38</v>
      </c>
      <c r="B54" s="17"/>
      <c r="C54" s="72"/>
      <c r="D54" s="62">
        <f>ROUND(D48*D52,6)</f>
        <v>0.918605</v>
      </c>
      <c r="E54" s="62">
        <f>ROUND(E48*E52,6)</f>
        <v>0.668221</v>
      </c>
      <c r="F54" s="62">
        <f>ROUND(F48*F52,6)</f>
        <v>-1.242342</v>
      </c>
      <c r="G54" s="62">
        <f>ROUND(G48*G52,6)</f>
        <v>1.343149</v>
      </c>
      <c r="H54" s="38"/>
      <c r="I54" s="38"/>
    </row>
    <row r="55" spans="1:9" s="18" customFormat="1" ht="11.25">
      <c r="A55" s="16"/>
      <c r="B55" s="17"/>
      <c r="C55" s="22"/>
      <c r="D55" s="36"/>
      <c r="E55" s="36"/>
      <c r="F55" s="36"/>
      <c r="G55" s="36"/>
      <c r="H55" s="38"/>
      <c r="I55" s="38"/>
    </row>
    <row r="56" spans="1:9" s="18" customFormat="1" ht="11.25">
      <c r="A56" s="19" t="s">
        <v>39</v>
      </c>
      <c r="B56" s="20" t="s">
        <v>40</v>
      </c>
      <c r="C56" s="37"/>
      <c r="D56" s="62">
        <f>D48+D54</f>
        <v>12.771568233268837</v>
      </c>
      <c r="E56" s="62">
        <f>E48+E54</f>
        <v>9.290421777071384</v>
      </c>
      <c r="F56" s="62">
        <f>F48+F54</f>
        <v>-27.396920749945586</v>
      </c>
      <c r="G56" s="62">
        <f>G48+G54</f>
        <v>18.674100970054685</v>
      </c>
      <c r="H56" s="38"/>
      <c r="I56" s="38"/>
    </row>
    <row r="57" spans="1:9" s="18" customFormat="1" ht="11.25">
      <c r="A57" s="16"/>
      <c r="B57" s="17"/>
      <c r="C57" s="38"/>
      <c r="D57" s="70">
        <f>+D56/D42</f>
        <v>0.007171548602542977</v>
      </c>
      <c r="E57" s="70">
        <f>+E56/E42</f>
        <v>0.005008666656874298</v>
      </c>
      <c r="F57" s="70">
        <f>+F56/F42</f>
        <v>-0.015268947703757987</v>
      </c>
      <c r="G57" s="70">
        <f>+G56/G42</f>
        <v>0.008750926876017707</v>
      </c>
      <c r="H57" s="38"/>
      <c r="I57" s="38"/>
    </row>
    <row r="58" ht="11.25">
      <c r="I58" s="12"/>
    </row>
    <row r="59" ht="11.25">
      <c r="I59" s="12"/>
    </row>
    <row r="60" ht="11.25">
      <c r="I60" s="12"/>
    </row>
    <row r="61" ht="11.25">
      <c r="I61" s="12"/>
    </row>
    <row r="62" ht="11.25">
      <c r="I62" s="12"/>
    </row>
    <row r="63" ht="11.25">
      <c r="I63" s="12"/>
    </row>
    <row r="64" ht="11.25">
      <c r="I64" s="12"/>
    </row>
    <row r="65" ht="11.25">
      <c r="I65" s="12"/>
    </row>
    <row r="66" ht="11.25">
      <c r="I66" s="12"/>
    </row>
  </sheetData>
  <conditionalFormatting sqref="E40:G41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&amp;LCompany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4"/>
  <sheetViews>
    <sheetView workbookViewId="0" topLeftCell="A1">
      <selection activeCell="B12" sqref="B12"/>
    </sheetView>
  </sheetViews>
  <sheetFormatPr defaultColWidth="9.140625" defaultRowHeight="12.75"/>
  <cols>
    <col min="2" max="2" width="74.421875" style="0" bestFit="1" customWidth="1"/>
  </cols>
  <sheetData>
    <row r="1" ht="12.75">
      <c r="B1" s="91" t="s">
        <v>61</v>
      </c>
    </row>
    <row r="3" ht="12.75">
      <c r="B3" t="s">
        <v>54</v>
      </c>
    </row>
    <row r="6" ht="12.75">
      <c r="B6" t="s">
        <v>55</v>
      </c>
    </row>
    <row r="7" ht="12.75">
      <c r="B7" t="s">
        <v>56</v>
      </c>
    </row>
    <row r="8" ht="12.75">
      <c r="B8" t="s">
        <v>57</v>
      </c>
    </row>
    <row r="9" ht="12.75">
      <c r="B9" t="s">
        <v>58</v>
      </c>
    </row>
    <row r="10" ht="12.75">
      <c r="B10" t="s">
        <v>59</v>
      </c>
    </row>
    <row r="11" ht="12.75">
      <c r="B11" t="s">
        <v>62</v>
      </c>
    </row>
    <row r="14" ht="12.75">
      <c r="B14" t="s">
        <v>60</v>
      </c>
    </row>
  </sheetData>
  <printOptions/>
  <pageMargins left="0.75" right="0.75" top="1" bottom="1" header="0.5" footer="0.5"/>
  <pageSetup fitToHeight="1" fitToWidth="1" orientation="landscape" paperSize="9" r:id="rId1"/>
  <headerFooter alignWithMargins="0">
    <oddFooter>&amp;LCompany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Steven.J.Edwards</dc:creator>
  <cp:keywords/>
  <dc:description/>
  <cp:lastModifiedBy>Steven.J.Edwards</cp:lastModifiedBy>
  <cp:lastPrinted>2007-09-10T12:11:39Z</cp:lastPrinted>
  <dcterms:created xsi:type="dcterms:W3CDTF">2007-09-10T09:14:20Z</dcterms:created>
  <dcterms:modified xsi:type="dcterms:W3CDTF">2007-09-18T12:22:11Z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