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236" windowWidth="15090" windowHeight="8730" activeTab="0"/>
  </bookViews>
  <sheets>
    <sheet name="Mod 186" sheetId="1" r:id="rId1"/>
    <sheet name="shrinkage 2008_9" sheetId="2" state="hidden" r:id="rId2"/>
    <sheet name="Exit Capacity Incentive 2008_9" sheetId="3" state="hidden" r:id="rId3"/>
    <sheet name="Metering Tip Point 2008_9" sheetId="4" state="hidden" r:id="rId4"/>
    <sheet name="Cost Pass Thru 2008_9" sheetId="5" state="hidden" r:id="rId5"/>
    <sheet name="Sheet1" sheetId="6" r:id="rId6"/>
  </sheets>
  <definedNames>
    <definedName name="BaseRPI">#REF!</definedName>
    <definedName name="_xlnm.Print_Area" localSheetId="0">'Mod 186'!$A$1:$I$68</definedName>
    <definedName name="_xlnm.Print_Area" localSheetId="1">'shrinkage 2008_9'!$A$3:$N$19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<sst xmlns="http://schemas.openxmlformats.org/spreadsheetml/2006/main" count="164" uniqueCount="132">
  <si>
    <t>% of previous year</t>
  </si>
  <si>
    <t>Final Allowed Rev per PCR</t>
  </si>
  <si>
    <t>Final Allowed Revenue Latest Forecast</t>
  </si>
  <si>
    <t>Inflation Assumed</t>
  </si>
  <si>
    <t>Final Allowed Rev per PCR at prices of year</t>
  </si>
  <si>
    <t>Forecast Under / Over Recovery ( K )</t>
  </si>
  <si>
    <t>Forecast Collected Revenue</t>
  </si>
  <si>
    <t>Core Allowed</t>
  </si>
  <si>
    <t>Cost Pass through Movements</t>
  </si>
  <si>
    <t>Incentives Movement</t>
  </si>
  <si>
    <t>K Movement</t>
  </si>
  <si>
    <t>Shrinkage Allowance</t>
  </si>
  <si>
    <t>£m</t>
  </si>
  <si>
    <t xml:space="preserve">This report is published as a goodwill gesture from Wales &amp; West Utilities to all Shippers following the implementation of Mod 186. </t>
  </si>
  <si>
    <t>2008/9</t>
  </si>
  <si>
    <t>2009/10</t>
  </si>
  <si>
    <t>2010/11</t>
  </si>
  <si>
    <t>2011/12</t>
  </si>
  <si>
    <t>2012/13</t>
  </si>
  <si>
    <t>Future Years</t>
  </si>
  <si>
    <t>Comments</t>
  </si>
  <si>
    <t>It is published on a without prejudice basis and whilst every effort has been made to ensure the accuracy of the information</t>
  </si>
  <si>
    <t>Shrinkage Costs For 2008/9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</si>
  <si>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</si>
  <si>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</si>
  <si>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</si>
  <si>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</si>
  <si>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</si>
  <si>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</si>
  <si>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</si>
  <si>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</si>
  <si>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</si>
  <si>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</si>
  <si>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</si>
  <si>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</si>
  <si>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</si>
  <si>
    <t>Actual</t>
  </si>
  <si>
    <t>Therms required (Note 1)</t>
  </si>
  <si>
    <t>Forecast £</t>
  </si>
  <si>
    <t>Volumws (Gwh) (Note 1)</t>
  </si>
  <si>
    <t>Note 1</t>
  </si>
  <si>
    <t>`</t>
  </si>
  <si>
    <t>Inflation</t>
  </si>
  <si>
    <t>Deflate</t>
  </si>
  <si>
    <t>Exit capacity as per spreadsheet in xit Cpacity Folder</t>
  </si>
  <si>
    <t>£</t>
  </si>
  <si>
    <t>Total</t>
  </si>
  <si>
    <t>Pass Through Rates</t>
  </si>
  <si>
    <t>Pass Through Licence Fee</t>
  </si>
  <si>
    <t>NTS Pensions</t>
  </si>
  <si>
    <t>Total Cost Pass Through</t>
  </si>
  <si>
    <t>PCR Allowed</t>
  </si>
  <si>
    <t>05/06 Prices</t>
  </si>
  <si>
    <t>08/09 Prices</t>
  </si>
  <si>
    <t>08/09</t>
  </si>
  <si>
    <t>Inflation between 2005/6 and 2008/9</t>
  </si>
  <si>
    <t>Pension Deficit</t>
  </si>
  <si>
    <t>Monthly</t>
  </si>
  <si>
    <t>Annual</t>
  </si>
  <si>
    <t>Licence</t>
  </si>
  <si>
    <t>B450 GL: 64800010</t>
  </si>
  <si>
    <t>Formula rates</t>
  </si>
  <si>
    <t>B450 GL:65000001</t>
  </si>
  <si>
    <t>Difference</t>
  </si>
  <si>
    <t>Shrinkage for Apr to Sept 08 is based on three month ahead incentive price.</t>
  </si>
  <si>
    <t>From Oct 08 it is based on the flat allowance given by ofgem, day ahead prices.</t>
  </si>
  <si>
    <t>Note 2</t>
  </si>
  <si>
    <t>Actual allowed from Apr 080 to Oct 08.</t>
  </si>
  <si>
    <t>Nov Estimate</t>
  </si>
  <si>
    <t>Adjusted Nov</t>
  </si>
  <si>
    <t>Nov 24th</t>
  </si>
  <si>
    <t>Jun</t>
  </si>
  <si>
    <t>Jul</t>
  </si>
  <si>
    <t>Aug</t>
  </si>
  <si>
    <t>Sep</t>
  </si>
  <si>
    <t>Indicative Price Adjustment</t>
  </si>
  <si>
    <t>Cost Pass Through</t>
  </si>
  <si>
    <t>2013/14</t>
  </si>
  <si>
    <t>NGM Non Dom</t>
  </si>
  <si>
    <t>PEMS</t>
  </si>
  <si>
    <t>2005/06 Rate</t>
  </si>
  <si>
    <t>2008/09 Adjustment</t>
  </si>
  <si>
    <t>Price per therm 2nd March 09 Heren</t>
  </si>
  <si>
    <t>contained here, it is primarily a forecast.</t>
  </si>
  <si>
    <t>Invoice Mth</t>
  </si>
  <si>
    <t>Financial Yr</t>
  </si>
  <si>
    <t>2005/6</t>
  </si>
  <si>
    <t>2006/7</t>
  </si>
  <si>
    <t>2007/8</t>
  </si>
  <si>
    <t>Theft of Gas</t>
  </si>
  <si>
    <t>£m =</t>
  </si>
  <si>
    <t>Charge Type: 844,845,846</t>
  </si>
  <si>
    <t>% (Over)/Under recovery</t>
  </si>
  <si>
    <t>Metering Jobs 2008/9</t>
  </si>
  <si>
    <t>Months</t>
  </si>
  <si>
    <t>On Stream</t>
  </si>
  <si>
    <t>NGM Dom</t>
  </si>
  <si>
    <t>Apr</t>
  </si>
  <si>
    <t>Oct</t>
  </si>
  <si>
    <t>Nov</t>
  </si>
  <si>
    <t>Dec</t>
  </si>
  <si>
    <t>Jan</t>
  </si>
  <si>
    <t>Feb</t>
  </si>
  <si>
    <t>Mar</t>
  </si>
  <si>
    <t>Ofgem Jobs Allowance</t>
  </si>
  <si>
    <t>Total Allowance (£)</t>
  </si>
  <si>
    <t>2008/9 Prices</t>
  </si>
  <si>
    <t>(viii) We have not included NTS exit capacity charges for 2012/13 and 2013/14 as we are not sure, at this time, of the level of these charges .</t>
  </si>
  <si>
    <t>Actual Price Adjustment</t>
  </si>
  <si>
    <t>Arithmetical October/April Price level change needed for Collected to = Allowed</t>
  </si>
  <si>
    <t>(iv)  Incentives for 2010/11relate to exit capacity, metering tipping point, emissions and MSRA.</t>
  </si>
  <si>
    <t>MOD 186 Report</t>
  </si>
  <si>
    <t>2014/15</t>
  </si>
  <si>
    <t>(iii)  We have received a report from xoserve which shows that the percentage reduction in capacity income following the AQ Review in Oct 10 is greater than</t>
  </si>
  <si>
    <t>we estimated when setting prices from 1st April 10. We estimated a fall of 3.5% from 1st October 10 when setting the Apr 10 prices but the report from xoserve</t>
  </si>
  <si>
    <t>Reported Price Adjustment in the October 10 Mod 186 Presentation</t>
  </si>
  <si>
    <t>(i) Shrinkage costs are based on 'day ahead' prices dated 11th January 2011 multiplied by the shrinkage gas quantities given in the licence .</t>
  </si>
  <si>
    <t>(ii) Inflation for 2010/11 was -0.4% based on actuals for July to Dec 09.</t>
  </si>
  <si>
    <t>is showing a reduction of 5.5%. Forecast collected income has therefore been revised down by £2.4m from oct 10 to Mar 11.</t>
  </si>
  <si>
    <t>(iii)  We have assumed capacity income will fall by 4.0% from Oct 11, following the AQ review.</t>
  </si>
  <si>
    <t>(iv)  Incentives for 2011/12 relate to capacity output, metering tipping point, emissions and MSRA.</t>
  </si>
  <si>
    <t>(ii) Inflation for future years is estimated to be 3% per year.</t>
  </si>
  <si>
    <t>(iii) For future years we have not assumed a fall in capacity income following AQ reviews.</t>
  </si>
  <si>
    <t>(iv)  Incentives relate to capacity output and emisssions.</t>
  </si>
  <si>
    <t>(v) As 2013/14 represents the start of a new PCR period and we are unsure what the outcome will be we have used the Allowed Revenue figure for 2012/13 and inflated it by 3.0%</t>
  </si>
  <si>
    <t>(vii) No account has been taken of TMA costs as we are still not sure of the impact in this Network.</t>
  </si>
  <si>
    <t>(ix) Business Rates are under review but will not be finalised until later this month. We have therefore not made any adjustment for this other than as per the licence.</t>
  </si>
  <si>
    <t>Sensitivities: 2011/12</t>
  </si>
  <si>
    <t>(i) A 1% fall in capacity income between Oct 11 and Mar 12, following Oct 11 AQ review and based on a 15.0% increase is equivalent to a price increase of 0.5% from 1st April 11.</t>
  </si>
  <si>
    <t xml:space="preserve">(ii) If shrinkage costs, for Allowed Revenue purposes, increased on average by 10% for 2011/12, this would equate to a price inctrease of approximately 0.3% from 1st April 11. </t>
  </si>
  <si>
    <t>(iii) A 1% increase in Allowed Revenue for 2011/12, given our price adjustment and assumptions for 2011/12, is equivalent to a 1% price increase.</t>
  </si>
  <si>
    <t>(ii) Inflation for 2011/12 is now finalised at 4.7% based on actual RPIs for July to Dec 10.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</si>
</sst>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_ ;[Red]\-#,##0.000\ "/>
    <numFmt numFmtId="165" formatCode="#,##0.0_ ;[Red]\-#,##0.0\ "/>
    <numFmt numFmtId="166" formatCode="#,##0_ ;[Red]\-#,##0\ "/>
    <numFmt numFmtId="167" formatCode="0.0"/>
    <numFmt numFmtId="168" formatCode="0.0%"/>
    <numFmt numFmtId="169" formatCode="#,##0_);_)\(#,##0\);\-_);@_)"/>
    <numFmt numFmtId="170" formatCode="#,##0.00_ ;[Red]\-#,##0.00\ "/>
    <numFmt numFmtId="171" formatCode="#,##0.0000_ ;[Red]\-#,##0.0000\ "/>
    <numFmt numFmtId="172" formatCode="0.000"/>
    <numFmt numFmtId="173" formatCode="#,##0_ ;\-#,##0\ "/>
    <numFmt numFmtId="174" formatCode="_-[$€-2]* #,##0.00_-;\-[$€-2]* #,##0.00_-;_-[$€-2]* &quot;-&quot;??_-"/>
    <numFmt numFmtId="175" formatCode="0.0000"/>
    <numFmt numFmtId="176" formatCode="0.00000"/>
    <numFmt numFmtId="177" formatCode="0.000000"/>
    <numFmt numFmtId="178" formatCode="0.0000000"/>
    <numFmt numFmtId="179" formatCode="#,##0.00000_ ;[Red]\-#,##0.00000\ "/>
    <numFmt numFmtId="180" formatCode="&quot;£&quot;#,##0.00"/>
    <numFmt numFmtId="181" formatCode="#,##0.0000000000000_ ;[Red]\-#,##0.0000000000000\ "/>
    <numFmt numFmtId="182" formatCode="#,##0.000"/>
    <numFmt numFmtId="183" formatCode="0.00%_);_)\(0.00%\)"/>
    <numFmt numFmtId="184" formatCode="_-* #,##0_-;\-* #,##0_-;_-* &quot;-&quot;??_-;_-@_-"/>
    <numFmt numFmtId="185" formatCode="#,##0.00000000000000_ ;[Red]\-#,##0.00000000000000\ "/>
    <numFmt numFmtId="186" formatCode="#,##0.000000000000000_ ;[Red]\-#,##0.000000000000000\ "/>
    <numFmt numFmtId="187" formatCode="#,##0.00000000000"/>
    <numFmt numFmtId="188" formatCode="#,##0.0"/>
    <numFmt numFmtId="189" formatCode="&quot;£&quot;#,##0"/>
    <numFmt numFmtId="190" formatCode="#,##0;\(#,##0\)"/>
    <numFmt numFmtId="191" formatCode="_-&quot;£&quot;* #,##0_-;\-&quot;£&quot;* #,##0_-;_-&quot;£&quot;* &quot;-&quot;??_-;_-@_-"/>
    <numFmt numFmtId="192" formatCode="#,##0.000000_ ;[Red]\-#,##0.000000\ 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1"/>
      <color indexed="48"/>
      <name val="CG Omega"/>
      <family val="2"/>
    </font>
    <font>
      <sz val="10"/>
      <color indexed="61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22" borderId="0">
      <alignment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9" fillId="23" borderId="0">
      <alignment/>
      <protection/>
    </xf>
    <xf numFmtId="0" fontId="23" fillId="0" borderId="5" applyNumberFormat="0" applyFill="0" applyAlignment="0" applyProtection="0"/>
    <xf numFmtId="0" fontId="24" fillId="24" borderId="0" applyNumberFormat="0" applyBorder="0" applyAlignment="0" applyProtection="0"/>
    <xf numFmtId="0" fontId="13" fillId="23" borderId="6" applyNumberFormat="0" applyFont="0" applyAlignment="0" applyProtection="0"/>
    <xf numFmtId="0" fontId="25" fillId="20" borderId="7" applyNumberFormat="0" applyAlignment="0" applyProtection="0"/>
    <xf numFmtId="9" fontId="0" fillId="0" borderId="0" applyFont="0" applyFill="0" applyBorder="0" applyAlignment="0" applyProtection="0"/>
    <xf numFmtId="169" fontId="3" fillId="0" borderId="0" applyProtection="0">
      <alignment horizontal="right"/>
    </xf>
    <xf numFmtId="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0" fillId="0" borderId="0">
      <alignment horizontal="center"/>
      <protection/>
    </xf>
    <xf numFmtId="0" fontId="2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165" fontId="3" fillId="0" borderId="9" xfId="0" applyNumberFormat="1" applyFont="1" applyBorder="1" applyAlignment="1">
      <alignment horizontal="right"/>
    </xf>
    <xf numFmtId="165" fontId="3" fillId="10" borderId="10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165" fontId="3" fillId="0" borderId="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8" fontId="3" fillId="0" borderId="9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4" fontId="3" fillId="0" borderId="9" xfId="0" applyNumberFormat="1" applyFont="1" applyFill="1" applyBorder="1" applyAlignment="1">
      <alignment/>
    </xf>
    <xf numFmtId="167" fontId="3" fillId="0" borderId="9" xfId="0" applyNumberFormat="1" applyFont="1" applyFill="1" applyBorder="1" applyAlignment="1">
      <alignment horizontal="center"/>
    </xf>
    <xf numFmtId="165" fontId="3" fillId="25" borderId="1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65" fontId="5" fillId="0" borderId="9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26" borderId="10" xfId="0" applyFont="1" applyFill="1" applyBorder="1" applyAlignment="1">
      <alignment/>
    </xf>
    <xf numFmtId="165" fontId="5" fillId="26" borderId="1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right"/>
    </xf>
    <xf numFmtId="17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5" fillId="25" borderId="12" xfId="0" applyFont="1" applyFill="1" applyBorder="1" applyAlignment="1">
      <alignment wrapText="1"/>
    </xf>
    <xf numFmtId="168" fontId="5" fillId="25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10" borderId="10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17" fontId="5" fillId="0" borderId="0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right"/>
    </xf>
    <xf numFmtId="10" fontId="3" fillId="0" borderId="0" xfId="0" applyNumberFormat="1" applyFont="1" applyFill="1" applyAlignment="1">
      <alignment horizontal="center"/>
    </xf>
    <xf numFmtId="179" fontId="0" fillId="0" borderId="0" xfId="0" applyNumberFormat="1" applyAlignment="1">
      <alignment/>
    </xf>
    <xf numFmtId="171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68" fontId="5" fillId="0" borderId="0" xfId="0" applyNumberFormat="1" applyFont="1" applyFill="1" applyAlignment="1">
      <alignment/>
    </xf>
    <xf numFmtId="0" fontId="5" fillId="20" borderId="10" xfId="0" applyFont="1" applyFill="1" applyBorder="1" applyAlignment="1">
      <alignment horizontal="center"/>
    </xf>
    <xf numFmtId="0" fontId="3" fillId="20" borderId="9" xfId="0" applyFont="1" applyFill="1" applyBorder="1" applyAlignment="1">
      <alignment horizontal="center"/>
    </xf>
    <xf numFmtId="165" fontId="3" fillId="20" borderId="9" xfId="0" applyNumberFormat="1" applyFont="1" applyFill="1" applyBorder="1" applyAlignment="1">
      <alignment horizontal="right"/>
    </xf>
    <xf numFmtId="165" fontId="3" fillId="20" borderId="10" xfId="0" applyNumberFormat="1" applyFont="1" applyFill="1" applyBorder="1" applyAlignment="1">
      <alignment horizontal="right"/>
    </xf>
    <xf numFmtId="168" fontId="3" fillId="20" borderId="9" xfId="0" applyNumberFormat="1" applyFont="1" applyFill="1" applyBorder="1" applyAlignment="1">
      <alignment horizontal="right"/>
    </xf>
    <xf numFmtId="167" fontId="3" fillId="20" borderId="9" xfId="0" applyNumberFormat="1" applyFont="1" applyFill="1" applyBorder="1" applyAlignment="1">
      <alignment horizontal="center"/>
    </xf>
    <xf numFmtId="165" fontId="5" fillId="20" borderId="9" xfId="0" applyNumberFormat="1" applyFont="1" applyFill="1" applyBorder="1" applyAlignment="1">
      <alignment horizontal="right"/>
    </xf>
    <xf numFmtId="165" fontId="5" fillId="20" borderId="10" xfId="0" applyNumberFormat="1" applyFont="1" applyFill="1" applyBorder="1" applyAlignment="1">
      <alignment horizontal="right"/>
    </xf>
    <xf numFmtId="0" fontId="5" fillId="20" borderId="9" xfId="0" applyFont="1" applyFill="1" applyBorder="1" applyAlignment="1">
      <alignment horizontal="center"/>
    </xf>
    <xf numFmtId="0" fontId="5" fillId="20" borderId="12" xfId="0" applyFont="1" applyFill="1" applyBorder="1" applyAlignment="1">
      <alignment horizontal="center"/>
    </xf>
    <xf numFmtId="168" fontId="5" fillId="20" borderId="12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17" fontId="0" fillId="0" borderId="11" xfId="0" applyNumberFormat="1" applyBorder="1" applyAlignment="1">
      <alignment/>
    </xf>
    <xf numFmtId="166" fontId="11" fillId="0" borderId="11" xfId="0" applyNumberFormat="1" applyFont="1" applyBorder="1" applyAlignment="1">
      <alignment/>
    </xf>
    <xf numFmtId="164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170" fontId="3" fillId="0" borderId="9" xfId="0" applyNumberFormat="1" applyFont="1" applyFill="1" applyBorder="1" applyAlignment="1">
      <alignment horizontal="right"/>
    </xf>
    <xf numFmtId="170" fontId="3" fillId="20" borderId="9" xfId="0" applyNumberFormat="1" applyFont="1" applyFill="1" applyBorder="1" applyAlignment="1">
      <alignment horizontal="right"/>
    </xf>
    <xf numFmtId="18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56">
    <cellStyle name="Normal" xfId="0"/>
    <cellStyle name="_Forecast 09-04-10" xfId="15"/>
    <cellStyle name="=C:\WINNT\SYSTEM32\COMMAND.COM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Data" xfId="58"/>
    <cellStyle name="Linked Cell" xfId="59"/>
    <cellStyle name="Neutral" xfId="60"/>
    <cellStyle name="Note" xfId="61"/>
    <cellStyle name="Output" xfId="62"/>
    <cellStyle name="Percent" xfId="63"/>
    <cellStyle name="Std_0" xfId="64"/>
    <cellStyle name="Style 1" xfId="65"/>
    <cellStyle name="Title" xfId="66"/>
    <cellStyle name="Total" xfId="67"/>
    <cellStyle name="Units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E52" sqref="E52"/>
    </sheetView>
  </sheetViews>
  <sheetFormatPr defaultColWidth="9.140625" defaultRowHeight="12.75"/>
  <cols>
    <col min="1" max="1" width="65.421875" style="3" customWidth="1"/>
    <col min="2" max="2" width="12.8515625" style="4" hidden="1" customWidth="1"/>
    <col min="3" max="3" width="8.8515625" style="4" bestFit="1" customWidth="1"/>
    <col min="4" max="4" width="8.7109375" style="4" customWidth="1"/>
    <col min="5" max="5" width="10.8515625" style="4" bestFit="1" customWidth="1"/>
    <col min="6" max="6" width="8.7109375" style="4" bestFit="1" customWidth="1"/>
    <col min="7" max="7" width="8.7109375" style="3" bestFit="1" customWidth="1"/>
    <col min="8" max="8" width="8.7109375" style="3" customWidth="1"/>
    <col min="9" max="16384" width="9.140625" style="3" customWidth="1"/>
  </cols>
  <sheetData>
    <row r="1" spans="1:6" ht="12">
      <c r="A1" s="95" t="s">
        <v>111</v>
      </c>
      <c r="B1" s="95"/>
      <c r="C1" s="95"/>
      <c r="D1" s="95"/>
      <c r="E1" s="95"/>
      <c r="F1" s="95"/>
    </row>
    <row r="2" spans="2:8" ht="12">
      <c r="B2" s="58"/>
      <c r="C2" s="58"/>
      <c r="D2" s="58"/>
      <c r="E2" s="58"/>
      <c r="F2" s="58"/>
      <c r="G2" s="83"/>
      <c r="H2" s="83"/>
    </row>
    <row r="3" spans="1:6" ht="12">
      <c r="A3" s="5"/>
      <c r="B3" s="66"/>
      <c r="C3" s="67"/>
      <c r="D3" s="7"/>
      <c r="E3" s="7"/>
      <c r="F3" s="6"/>
    </row>
    <row r="4" spans="1:7" ht="12">
      <c r="A4" s="53" t="s">
        <v>12</v>
      </c>
      <c r="B4" s="52" t="s">
        <v>15</v>
      </c>
      <c r="C4" s="52" t="s">
        <v>16</v>
      </c>
      <c r="D4" s="52" t="s">
        <v>17</v>
      </c>
      <c r="E4" s="52" t="s">
        <v>18</v>
      </c>
      <c r="F4" s="69" t="s">
        <v>77</v>
      </c>
      <c r="G4" s="69" t="s">
        <v>112</v>
      </c>
    </row>
    <row r="5" spans="1:7" ht="12">
      <c r="A5" s="8"/>
      <c r="B5" s="9"/>
      <c r="C5" s="9"/>
      <c r="D5" s="9"/>
      <c r="E5" s="9"/>
      <c r="F5" s="70"/>
      <c r="G5" s="70"/>
    </row>
    <row r="6" spans="1:7" ht="12">
      <c r="A6" s="8" t="s">
        <v>7</v>
      </c>
      <c r="B6" s="10">
        <v>232.23999999999998</v>
      </c>
      <c r="C6" s="10">
        <v>234.48</v>
      </c>
      <c r="D6" s="10">
        <v>237.48999999999998</v>
      </c>
      <c r="E6" s="10">
        <v>239.6</v>
      </c>
      <c r="F6" s="71"/>
      <c r="G6" s="71"/>
    </row>
    <row r="7" spans="1:7" ht="12">
      <c r="A7" s="8" t="s">
        <v>76</v>
      </c>
      <c r="B7" s="10">
        <v>24.91</v>
      </c>
      <c r="C7" s="10">
        <v>24.84</v>
      </c>
      <c r="D7" s="10">
        <v>24.78</v>
      </c>
      <c r="E7" s="10">
        <v>24.72</v>
      </c>
      <c r="F7" s="71"/>
      <c r="G7" s="71"/>
    </row>
    <row r="8" spans="1:7" ht="12">
      <c r="A8" s="8" t="s">
        <v>11</v>
      </c>
      <c r="B8" s="10">
        <v>4.409667424081135</v>
      </c>
      <c r="C8" s="10">
        <v>7.254011555771423</v>
      </c>
      <c r="D8" s="10">
        <v>7.921668576135583</v>
      </c>
      <c r="E8" s="10">
        <v>7.806662721945277</v>
      </c>
      <c r="F8" s="71"/>
      <c r="G8" s="71"/>
    </row>
    <row r="9" spans="1:7" ht="12">
      <c r="A9" s="8"/>
      <c r="B9" s="10"/>
      <c r="C9" s="10"/>
      <c r="D9" s="10"/>
      <c r="E9" s="10"/>
      <c r="F9" s="71"/>
      <c r="G9" s="71"/>
    </row>
    <row r="10" spans="1:7" s="14" customFormat="1" ht="12">
      <c r="A10" s="54" t="s">
        <v>1</v>
      </c>
      <c r="B10" s="11">
        <f aca="true" t="shared" si="0" ref="B10:G10">+B6+B7+B8</f>
        <v>261.5596674240811</v>
      </c>
      <c r="C10" s="11">
        <f t="shared" si="0"/>
        <v>266.5740115557714</v>
      </c>
      <c r="D10" s="11">
        <f t="shared" si="0"/>
        <v>270.19166857613556</v>
      </c>
      <c r="E10" s="11">
        <f t="shared" si="0"/>
        <v>272.12666272194525</v>
      </c>
      <c r="F10" s="72">
        <f t="shared" si="0"/>
        <v>0</v>
      </c>
      <c r="G10" s="72">
        <f t="shared" si="0"/>
        <v>0</v>
      </c>
    </row>
    <row r="11" spans="1:7" ht="12">
      <c r="A11" s="12"/>
      <c r="B11" s="13"/>
      <c r="C11" s="13"/>
      <c r="D11" s="13"/>
      <c r="E11" s="13"/>
      <c r="F11" s="71"/>
      <c r="G11" s="71"/>
    </row>
    <row r="12" spans="1:7" ht="12">
      <c r="A12" s="12" t="s">
        <v>3</v>
      </c>
      <c r="B12" s="92">
        <v>1.1495</v>
      </c>
      <c r="C12" s="92">
        <f>ROUND(1.14506992388033,4)</f>
        <v>1.1451</v>
      </c>
      <c r="D12" s="92">
        <f>ROUND(1.19879624712338,4)</f>
        <v>1.1988</v>
      </c>
      <c r="E12" s="92">
        <f>D12*1.03</f>
        <v>1.2347640000000002</v>
      </c>
      <c r="F12" s="93">
        <f>E12*1.03</f>
        <v>1.2718069200000002</v>
      </c>
      <c r="G12" s="93">
        <f>F12*1.03</f>
        <v>1.3099611276000003</v>
      </c>
    </row>
    <row r="13" spans="1:7" ht="12">
      <c r="A13" s="12"/>
      <c r="B13" s="13"/>
      <c r="C13" s="13"/>
      <c r="D13" s="13"/>
      <c r="E13" s="13"/>
      <c r="F13" s="71"/>
      <c r="G13" s="71"/>
    </row>
    <row r="14" spans="1:7" s="14" customFormat="1" ht="12">
      <c r="A14" s="54" t="s">
        <v>4</v>
      </c>
      <c r="B14" s="11">
        <f aca="true" t="shared" si="1" ref="B14:G14">+B10*B12</f>
        <v>300.6628377039812</v>
      </c>
      <c r="C14" s="11">
        <f t="shared" si="1"/>
        <v>305.2539006325138</v>
      </c>
      <c r="D14" s="11">
        <f t="shared" si="1"/>
        <v>323.9057722890713</v>
      </c>
      <c r="E14" s="11">
        <f t="shared" si="1"/>
        <v>336.01220656920003</v>
      </c>
      <c r="F14" s="72">
        <f t="shared" si="1"/>
        <v>0</v>
      </c>
      <c r="G14" s="72">
        <f t="shared" si="1"/>
        <v>0</v>
      </c>
    </row>
    <row r="15" spans="1:7" ht="12">
      <c r="A15" s="12"/>
      <c r="B15" s="13"/>
      <c r="C15" s="13"/>
      <c r="D15" s="13"/>
      <c r="E15" s="13"/>
      <c r="F15" s="71"/>
      <c r="G15" s="71"/>
    </row>
    <row r="16" spans="1:7" ht="12">
      <c r="A16" s="12" t="s">
        <v>8</v>
      </c>
      <c r="B16" s="13">
        <v>0.7085909255655899</v>
      </c>
      <c r="C16" s="13">
        <v>-0.90904252</v>
      </c>
      <c r="D16" s="13">
        <v>-0.9435373699999978</v>
      </c>
      <c r="E16" s="13">
        <v>-0.9864928055000001</v>
      </c>
      <c r="F16" s="71"/>
      <c r="G16" s="71"/>
    </row>
    <row r="17" spans="1:7" ht="12">
      <c r="A17" s="12" t="s">
        <v>9</v>
      </c>
      <c r="B17" s="13">
        <v>7.810052710684765</v>
      </c>
      <c r="C17" s="13">
        <v>7.9748748167417105</v>
      </c>
      <c r="D17" s="13">
        <v>9.19465512750516</v>
      </c>
      <c r="E17" s="13">
        <v>9.611189042473432</v>
      </c>
      <c r="F17" s="71"/>
      <c r="G17" s="71"/>
    </row>
    <row r="18" spans="1:7" ht="12">
      <c r="A18" s="12" t="s">
        <v>10</v>
      </c>
      <c r="B18" s="13">
        <v>-8.05497159362497</v>
      </c>
      <c r="C18" s="13">
        <v>-2.993043388661265</v>
      </c>
      <c r="D18" s="13">
        <v>5.433223331406144</v>
      </c>
      <c r="E18" s="13">
        <v>0</v>
      </c>
      <c r="F18" s="71"/>
      <c r="G18" s="71"/>
    </row>
    <row r="19" spans="1:7" ht="12">
      <c r="A19" s="12"/>
      <c r="B19" s="13"/>
      <c r="C19" s="13"/>
      <c r="D19" s="13"/>
      <c r="E19" s="13"/>
      <c r="F19" s="71"/>
      <c r="G19" s="71"/>
    </row>
    <row r="20" spans="1:7" s="14" customFormat="1" ht="12">
      <c r="A20" s="54" t="s">
        <v>2</v>
      </c>
      <c r="B20" s="11">
        <f>SUM(B14:B18)</f>
        <v>301.12650974660664</v>
      </c>
      <c r="C20" s="11">
        <f>SUM(C14:C18)</f>
        <v>309.32668954059426</v>
      </c>
      <c r="D20" s="11">
        <f>SUM(D14:D18)</f>
        <v>337.5901133779826</v>
      </c>
      <c r="E20" s="11">
        <f>SUM(E14:E18)</f>
        <v>344.63690280617345</v>
      </c>
      <c r="F20" s="72">
        <f>E20*F12/E12</f>
        <v>354.9760098903586</v>
      </c>
      <c r="G20" s="72">
        <f>F20*G12/F12</f>
        <v>365.6252901870694</v>
      </c>
    </row>
    <row r="21" spans="1:7" s="16" customFormat="1" ht="12">
      <c r="A21" s="12" t="s">
        <v>0</v>
      </c>
      <c r="B21" s="15">
        <v>1.0418347367091383</v>
      </c>
      <c r="C21" s="15">
        <f>+C20/B20</f>
        <v>1.027231676815462</v>
      </c>
      <c r="D21" s="15">
        <f>+D20/C20</f>
        <v>1.0913707895020783</v>
      </c>
      <c r="E21" s="15">
        <f>+E20/D20</f>
        <v>1.0208738027238993</v>
      </c>
      <c r="F21" s="73">
        <f>+F20/E20</f>
        <v>1.0299999999999998</v>
      </c>
      <c r="G21" s="73">
        <f>+G20/F20</f>
        <v>1.03</v>
      </c>
    </row>
    <row r="22" spans="1:7" s="16" customFormat="1" ht="12">
      <c r="A22" s="17"/>
      <c r="B22" s="18"/>
      <c r="C22" s="18"/>
      <c r="D22" s="18"/>
      <c r="E22" s="18"/>
      <c r="F22" s="74"/>
      <c r="G22" s="74"/>
    </row>
    <row r="23" spans="1:7" ht="12">
      <c r="A23" s="55" t="s">
        <v>6</v>
      </c>
      <c r="B23" s="19">
        <v>304.06086601000004</v>
      </c>
      <c r="C23" s="19">
        <v>304</v>
      </c>
      <c r="D23" s="19">
        <f>+D20</f>
        <v>337.5901133779826</v>
      </c>
      <c r="E23" s="19">
        <f>+E20</f>
        <v>344.63690280617345</v>
      </c>
      <c r="F23" s="72">
        <f>+F20</f>
        <v>354.9760098903586</v>
      </c>
      <c r="G23" s="72">
        <f>+G20</f>
        <v>365.6252901870694</v>
      </c>
    </row>
    <row r="24" spans="1:7" s="22" customFormat="1" ht="12">
      <c r="A24" s="20"/>
      <c r="B24" s="21"/>
      <c r="C24" s="21"/>
      <c r="D24" s="21"/>
      <c r="E24" s="21"/>
      <c r="F24" s="75"/>
      <c r="G24" s="75"/>
    </row>
    <row r="25" spans="1:7" s="26" customFormat="1" ht="12">
      <c r="A25" s="23" t="s">
        <v>5</v>
      </c>
      <c r="B25" s="24">
        <f aca="true" t="shared" si="2" ref="B25:G25">B23-B20</f>
        <v>2.934356263393397</v>
      </c>
      <c r="C25" s="24">
        <f t="shared" si="2"/>
        <v>-5.326689540594259</v>
      </c>
      <c r="D25" s="24">
        <f t="shared" si="2"/>
        <v>0</v>
      </c>
      <c r="E25" s="24">
        <f t="shared" si="2"/>
        <v>0</v>
      </c>
      <c r="F25" s="76">
        <f t="shared" si="2"/>
        <v>0</v>
      </c>
      <c r="G25" s="76">
        <f t="shared" si="2"/>
        <v>0</v>
      </c>
    </row>
    <row r="26" spans="1:7" s="22" customFormat="1" ht="12">
      <c r="A26" s="20"/>
      <c r="B26" s="25"/>
      <c r="C26" s="25"/>
      <c r="D26" s="25"/>
      <c r="E26" s="25"/>
      <c r="F26" s="77"/>
      <c r="G26" s="77"/>
    </row>
    <row r="27" spans="1:7" s="22" customFormat="1" ht="12">
      <c r="A27" s="50"/>
      <c r="B27" s="51"/>
      <c r="C27" s="51"/>
      <c r="D27" s="51"/>
      <c r="E27" s="51"/>
      <c r="F27" s="78"/>
      <c r="G27" s="78"/>
    </row>
    <row r="28" spans="1:7" s="22" customFormat="1" ht="24">
      <c r="A28" s="48" t="s">
        <v>109</v>
      </c>
      <c r="B28" s="49">
        <v>-0.093</v>
      </c>
      <c r="C28" s="49">
        <v>0.038</v>
      </c>
      <c r="D28" s="49">
        <v>0.151</v>
      </c>
      <c r="E28" s="49">
        <f>(E23-D23)/D23</f>
        <v>0.020873802723899382</v>
      </c>
      <c r="F28" s="79">
        <f>(F23-E23)/E23</f>
        <v>0.029999999999999912</v>
      </c>
      <c r="G28" s="79">
        <f>(G23-F23)/F23</f>
        <v>0.030000000000000113</v>
      </c>
    </row>
    <row r="29" spans="1:7" s="22" customFormat="1" ht="12">
      <c r="A29" s="26"/>
      <c r="B29" s="56">
        <v>39904</v>
      </c>
      <c r="C29" s="56">
        <v>40269</v>
      </c>
      <c r="D29" s="56">
        <v>40634</v>
      </c>
      <c r="E29" s="56">
        <v>41000</v>
      </c>
      <c r="F29" s="56">
        <v>41365</v>
      </c>
      <c r="G29" s="56"/>
    </row>
    <row r="30" spans="1:5" s="22" customFormat="1" ht="12">
      <c r="A30" s="26"/>
      <c r="B30" s="56"/>
      <c r="C30" s="59"/>
      <c r="D30" s="56"/>
      <c r="E30" s="56"/>
    </row>
    <row r="31" spans="1:3" s="22" customFormat="1" ht="12">
      <c r="A31" s="22" t="s">
        <v>108</v>
      </c>
      <c r="B31" s="59">
        <v>-0.093</v>
      </c>
      <c r="C31" s="60">
        <v>0.038</v>
      </c>
    </row>
    <row r="32" spans="1:6" ht="12">
      <c r="A32" s="26" t="s">
        <v>75</v>
      </c>
      <c r="B32" s="60">
        <v>-0.066</v>
      </c>
      <c r="C32" s="60">
        <v>0.037</v>
      </c>
      <c r="F32" s="3"/>
    </row>
    <row r="33" spans="1:7" ht="12">
      <c r="A33" s="26" t="s">
        <v>115</v>
      </c>
      <c r="B33" s="3"/>
      <c r="C33" s="59"/>
      <c r="D33" s="59">
        <v>0.14</v>
      </c>
      <c r="E33" s="59">
        <v>0.023018486810617723</v>
      </c>
      <c r="F33" s="68">
        <v>0.030054422873852626</v>
      </c>
      <c r="G33" s="68">
        <v>0.03000000000000001</v>
      </c>
    </row>
    <row r="34" spans="1:7" ht="12">
      <c r="A34" s="26"/>
      <c r="B34" s="3"/>
      <c r="C34" s="59"/>
      <c r="D34" s="59"/>
      <c r="E34" s="59"/>
      <c r="F34" s="68"/>
      <c r="G34" s="68"/>
    </row>
    <row r="35" spans="1:7" ht="12">
      <c r="A35" s="26" t="s">
        <v>92</v>
      </c>
      <c r="B35" s="94">
        <f>-(B23-B20)/B20</f>
        <v>-0.009744596269065162</v>
      </c>
      <c r="C35" s="94">
        <f>-(C23-C20)/C20</f>
        <v>0.01722027138526375</v>
      </c>
      <c r="D35" s="85"/>
      <c r="E35" s="59"/>
      <c r="F35" s="68"/>
      <c r="G35" s="68"/>
    </row>
    <row r="36" spans="1:8" ht="12">
      <c r="A36" s="26"/>
      <c r="B36" s="85"/>
      <c r="C36" s="85"/>
      <c r="D36" s="84"/>
      <c r="E36" s="84"/>
      <c r="F36" s="84"/>
      <c r="G36" s="84"/>
      <c r="H36" s="84"/>
    </row>
    <row r="37" spans="1:3" ht="12">
      <c r="A37" s="2" t="s">
        <v>20</v>
      </c>
      <c r="B37" s="64"/>
      <c r="C37" s="64"/>
    </row>
    <row r="40" ht="12">
      <c r="A40" s="27" t="s">
        <v>16</v>
      </c>
    </row>
    <row r="41" ht="12">
      <c r="A41" s="3" t="s">
        <v>116</v>
      </c>
    </row>
    <row r="42" ht="12">
      <c r="A42" s="3" t="s">
        <v>117</v>
      </c>
    </row>
    <row r="43" ht="12">
      <c r="A43" s="3" t="s">
        <v>113</v>
      </c>
    </row>
    <row r="44" ht="12">
      <c r="A44" s="3" t="s">
        <v>114</v>
      </c>
    </row>
    <row r="45" ht="12">
      <c r="A45" s="3" t="s">
        <v>118</v>
      </c>
    </row>
    <row r="46" ht="12">
      <c r="A46" s="3" t="s">
        <v>110</v>
      </c>
    </row>
    <row r="48" ht="12">
      <c r="A48" s="27" t="s">
        <v>17</v>
      </c>
    </row>
    <row r="49" ht="12">
      <c r="A49" s="3" t="s">
        <v>116</v>
      </c>
    </row>
    <row r="50" ht="12">
      <c r="A50" s="3" t="s">
        <v>131</v>
      </c>
    </row>
    <row r="51" ht="12">
      <c r="A51" s="3" t="s">
        <v>119</v>
      </c>
    </row>
    <row r="52" ht="12">
      <c r="A52" s="3" t="s">
        <v>120</v>
      </c>
    </row>
    <row r="54" ht="12">
      <c r="A54" s="27" t="s">
        <v>19</v>
      </c>
    </row>
    <row r="55" ht="12">
      <c r="A55" s="3" t="str">
        <f>A41</f>
        <v>(i) Shrinkage costs are based on 'day ahead' prices dated 11th January 2011 multiplied by the shrinkage gas quantities given in the licence .</v>
      </c>
    </row>
    <row r="56" ht="12">
      <c r="A56" s="3" t="s">
        <v>121</v>
      </c>
    </row>
    <row r="57" ht="12">
      <c r="A57" s="3" t="s">
        <v>122</v>
      </c>
    </row>
    <row r="58" ht="12">
      <c r="A58" s="3" t="s">
        <v>123</v>
      </c>
    </row>
    <row r="59" ht="12">
      <c r="A59" s="3" t="s">
        <v>124</v>
      </c>
    </row>
    <row r="60" ht="12">
      <c r="A60" s="3" t="s">
        <v>125</v>
      </c>
    </row>
    <row r="61" ht="12">
      <c r="A61" s="3" t="s">
        <v>107</v>
      </c>
    </row>
    <row r="62" ht="12">
      <c r="A62" s="3" t="s">
        <v>126</v>
      </c>
    </row>
    <row r="64" ht="12">
      <c r="A64" s="22" t="s">
        <v>127</v>
      </c>
    </row>
    <row r="65" ht="12">
      <c r="A65" s="3" t="s">
        <v>128</v>
      </c>
    </row>
    <row r="66" ht="12">
      <c r="A66" s="3" t="s">
        <v>129</v>
      </c>
    </row>
    <row r="67" ht="12">
      <c r="A67" s="3" t="s">
        <v>130</v>
      </c>
    </row>
    <row r="69" ht="12">
      <c r="A69" s="3" t="s">
        <v>13</v>
      </c>
    </row>
    <row r="70" ht="12">
      <c r="A70" s="28" t="s">
        <v>21</v>
      </c>
    </row>
    <row r="71" ht="12">
      <c r="A71" s="28" t="s">
        <v>83</v>
      </c>
    </row>
  </sheetData>
  <sheetProtection/>
  <mergeCells count="1">
    <mergeCell ref="A1:F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  <headerFooter alignWithMargins="0">
    <oddFooter>&amp;RUncontrolled when printed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9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6.57421875" style="0" customWidth="1"/>
    <col min="2" max="3" width="9.7109375" style="30" bestFit="1" customWidth="1"/>
    <col min="4" max="6" width="9.140625" style="30" customWidth="1"/>
    <col min="7" max="7" width="11.57421875" style="30" customWidth="1"/>
    <col min="8" max="8" width="12.57421875" style="30" customWidth="1"/>
    <col min="9" max="13" width="9.7109375" style="30" bestFit="1" customWidth="1"/>
    <col min="14" max="14" width="10.7109375" style="0" bestFit="1" customWidth="1"/>
    <col min="16" max="16" width="0" style="0" hidden="1" customWidth="1"/>
  </cols>
  <sheetData>
    <row r="3" ht="12.75">
      <c r="B3" s="29" t="s">
        <v>22</v>
      </c>
    </row>
    <row r="4" spans="8:13" ht="12.75">
      <c r="H4" s="30">
        <v>31</v>
      </c>
      <c r="I4" s="30">
        <v>30</v>
      </c>
      <c r="J4" s="30">
        <f>H4</f>
        <v>31</v>
      </c>
      <c r="K4" s="30">
        <f>J4</f>
        <v>31</v>
      </c>
      <c r="L4" s="30">
        <v>28</v>
      </c>
      <c r="M4" s="30">
        <f>K4</f>
        <v>31</v>
      </c>
    </row>
    <row r="5" spans="2:14" ht="12.75">
      <c r="B5" s="30" t="s">
        <v>23</v>
      </c>
      <c r="C5" s="30" t="s">
        <v>24</v>
      </c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</row>
    <row r="6" spans="2:13" ht="12.75">
      <c r="B6" s="30" t="s">
        <v>36</v>
      </c>
      <c r="C6" s="30" t="s">
        <v>36</v>
      </c>
      <c r="D6" s="30" t="s">
        <v>36</v>
      </c>
      <c r="E6" s="30" t="s">
        <v>36</v>
      </c>
      <c r="F6" s="30" t="s">
        <v>36</v>
      </c>
      <c r="G6" s="30" t="s">
        <v>36</v>
      </c>
      <c r="H6" s="30" t="s">
        <v>36</v>
      </c>
      <c r="I6" s="30" t="s">
        <v>36</v>
      </c>
      <c r="J6" s="30" t="s">
        <v>36</v>
      </c>
      <c r="K6" s="30" t="s">
        <v>36</v>
      </c>
      <c r="L6" s="30" t="s">
        <v>36</v>
      </c>
      <c r="M6" s="30" t="s">
        <v>36</v>
      </c>
    </row>
    <row r="7" spans="1:14" ht="12.75">
      <c r="A7" t="s">
        <v>82</v>
      </c>
      <c r="B7" s="31">
        <v>53.1378409090909</v>
      </c>
      <c r="C7" s="31">
        <v>50.819732142857134</v>
      </c>
      <c r="D7" s="31">
        <v>55.32619736842105</v>
      </c>
      <c r="E7" s="31">
        <v>63.553704545454515</v>
      </c>
      <c r="F7" s="31">
        <v>68.76798749999999</v>
      </c>
      <c r="G7" s="31">
        <v>74.05178571428571</v>
      </c>
      <c r="H7" s="31">
        <v>55.06532258064516</v>
      </c>
      <c r="I7" s="31">
        <v>56.13583333333334</v>
      </c>
      <c r="J7" s="31">
        <v>57.306451612903246</v>
      </c>
      <c r="K7" s="44">
        <v>60.71451612903226</v>
      </c>
      <c r="L7" s="44">
        <v>48.40357142857143</v>
      </c>
      <c r="M7" s="44">
        <v>32.23548387096774</v>
      </c>
      <c r="N7" s="32"/>
    </row>
    <row r="8" spans="1:14" ht="12.75">
      <c r="A8" s="33" t="s">
        <v>37</v>
      </c>
      <c r="B8" s="34">
        <v>1708559.7617021133</v>
      </c>
      <c r="C8" s="34">
        <v>998758.0845545965</v>
      </c>
      <c r="D8" s="34">
        <v>779259.3617816158</v>
      </c>
      <c r="E8" s="34">
        <v>757366.0263352564</v>
      </c>
      <c r="F8" s="34">
        <v>733688.2840970271</v>
      </c>
      <c r="G8" s="34">
        <v>879009.0560434166</v>
      </c>
      <c r="H8" s="34">
        <v>1609893.8032530916</v>
      </c>
      <c r="I8" s="34">
        <v>1557961.745083637</v>
      </c>
      <c r="J8" s="34">
        <v>1609893.8032530916</v>
      </c>
      <c r="K8" s="34">
        <v>1609893.8032530916</v>
      </c>
      <c r="L8" s="34">
        <v>1454097.628744728</v>
      </c>
      <c r="M8" s="34">
        <v>1609893.8032530916</v>
      </c>
      <c r="N8" s="34">
        <f>SUM(B8:M8)</f>
        <v>15308275.161354758</v>
      </c>
    </row>
    <row r="9" spans="2:14" ht="12.7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6" ht="12.75">
      <c r="A10" s="35" t="s">
        <v>38</v>
      </c>
      <c r="B10" s="36">
        <f>+B8*B7/100</f>
        <v>907891.7680100114</v>
      </c>
      <c r="C10" s="36">
        <f aca="true" t="shared" si="0" ref="C10:M10">+C8*C7/100</f>
        <v>507566.1833257765</v>
      </c>
      <c r="D10" s="36">
        <f t="shared" si="0"/>
        <v>431134.572511195</v>
      </c>
      <c r="E10" s="36">
        <f t="shared" si="0"/>
        <v>481334.1667047581</v>
      </c>
      <c r="F10" s="36">
        <f t="shared" si="0"/>
        <v>504542.66749680805</v>
      </c>
      <c r="G10" s="36">
        <f t="shared" si="0"/>
        <v>650921.9025904365</v>
      </c>
      <c r="H10" s="36">
        <f t="shared" si="0"/>
        <v>886493.2159671319</v>
      </c>
      <c r="I10" s="36">
        <f t="shared" si="0"/>
        <v>874574.8086172421</v>
      </c>
      <c r="J10" s="36">
        <f t="shared" si="0"/>
        <v>922573.0133803608</v>
      </c>
      <c r="K10" s="36">
        <f t="shared" si="0"/>
        <v>977439.2328363892</v>
      </c>
      <c r="L10" s="36">
        <f t="shared" si="0"/>
        <v>703835.1843706178</v>
      </c>
      <c r="M10" s="36">
        <f t="shared" si="0"/>
        <v>518957.05728735944</v>
      </c>
      <c r="N10" s="36">
        <f>SUM(B10:M10)</f>
        <v>8367263.773098087</v>
      </c>
      <c r="P10">
        <f>N10/1000000</f>
        <v>8.367263773098086</v>
      </c>
    </row>
    <row r="11" spans="2:14" ht="12.7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2.75">
      <c r="A12" t="s">
        <v>39</v>
      </c>
      <c r="B12" s="34">
        <f aca="true" t="shared" si="1" ref="B12:M12">B8*29.3071/1000000</f>
        <v>50.07293179218</v>
      </c>
      <c r="C12" s="34">
        <f t="shared" si="1"/>
        <v>29.27070305985001</v>
      </c>
      <c r="D12" s="34">
        <f t="shared" si="1"/>
        <v>22.83783204166999</v>
      </c>
      <c r="E12" s="34">
        <f t="shared" si="1"/>
        <v>22.196201870409993</v>
      </c>
      <c r="F12" s="34">
        <f t="shared" si="1"/>
        <v>21.502275910859982</v>
      </c>
      <c r="G12" s="34">
        <f t="shared" si="1"/>
        <v>25.761206306370013</v>
      </c>
      <c r="H12" s="34">
        <f t="shared" si="1"/>
        <v>47.18131868131868</v>
      </c>
      <c r="I12" s="34">
        <f t="shared" si="1"/>
        <v>45.65934065934066</v>
      </c>
      <c r="J12" s="34">
        <f t="shared" si="1"/>
        <v>47.18131868131868</v>
      </c>
      <c r="K12" s="34">
        <f t="shared" si="1"/>
        <v>47.18131868131868</v>
      </c>
      <c r="L12" s="34">
        <f t="shared" si="1"/>
        <v>42.61538461538461</v>
      </c>
      <c r="M12" s="34">
        <f t="shared" si="1"/>
        <v>47.18131868131868</v>
      </c>
      <c r="N12" s="34">
        <f>SUM(B12:M12)</f>
        <v>448.64115098133993</v>
      </c>
    </row>
    <row r="13" spans="2:14" ht="12.7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5" spans="1:14" ht="12.75">
      <c r="A15" t="s">
        <v>40</v>
      </c>
      <c r="M15" s="30" t="s">
        <v>42</v>
      </c>
      <c r="N15" s="39">
        <v>1.1071871127633208</v>
      </c>
    </row>
    <row r="16" spans="1:13" ht="12.75">
      <c r="A16" t="s">
        <v>64</v>
      </c>
      <c r="B16" s="37"/>
      <c r="C16" s="37"/>
      <c r="H16" s="38"/>
      <c r="I16" s="38"/>
      <c r="J16" s="38"/>
      <c r="K16" s="38"/>
      <c r="L16" s="31"/>
      <c r="M16" s="38"/>
    </row>
    <row r="17" spans="1:14" ht="12.75">
      <c r="A17" t="s">
        <v>65</v>
      </c>
      <c r="G17" s="30" t="s">
        <v>68</v>
      </c>
      <c r="H17" s="30" t="s">
        <v>70</v>
      </c>
      <c r="I17" s="34">
        <v>861460.0994999998</v>
      </c>
      <c r="L17" s="31"/>
      <c r="M17" s="30" t="s">
        <v>43</v>
      </c>
      <c r="N17" s="34">
        <f>N10/N15</f>
        <v>7557226.485607338</v>
      </c>
    </row>
    <row r="18" spans="7:14" ht="12.75">
      <c r="G18" s="30" t="s">
        <v>41</v>
      </c>
      <c r="H18" s="38"/>
      <c r="I18" s="38"/>
      <c r="J18" s="38"/>
      <c r="K18" s="38"/>
      <c r="L18" s="31"/>
      <c r="M18" s="38"/>
      <c r="N18" s="33"/>
    </row>
    <row r="19" spans="1:14" ht="12.75">
      <c r="A19" t="s">
        <v>66</v>
      </c>
      <c r="I19" s="34">
        <f>I10-I17</f>
        <v>13114.709117242368</v>
      </c>
      <c r="M19" s="30" t="s">
        <v>12</v>
      </c>
      <c r="N19" s="40">
        <f>N17/1000000</f>
        <v>7.557226485607338</v>
      </c>
    </row>
    <row r="20" ht="12.75">
      <c r="A20" t="s">
        <v>67</v>
      </c>
    </row>
    <row r="21" spans="8:14" ht="12.75">
      <c r="H21" s="30" t="s">
        <v>14</v>
      </c>
      <c r="I21" s="34">
        <f>N10</f>
        <v>8367263.773098087</v>
      </c>
      <c r="N21" s="33">
        <v>10632640.07747859</v>
      </c>
    </row>
    <row r="22" spans="8:14" ht="12.75">
      <c r="H22" s="34"/>
      <c r="I22" s="34"/>
      <c r="J22" s="34"/>
      <c r="K22" s="34"/>
      <c r="L22" s="34"/>
      <c r="M22" s="34"/>
      <c r="N22" s="33"/>
    </row>
    <row r="23" spans="8:9" ht="12.75">
      <c r="H23" s="30" t="s">
        <v>69</v>
      </c>
      <c r="I23" s="34">
        <f>I21-I19</f>
        <v>8354149.063980845</v>
      </c>
    </row>
    <row r="24" spans="9:14" ht="12.75">
      <c r="I24" s="32"/>
      <c r="N24">
        <f>N10/1000000</f>
        <v>8.367263773098086</v>
      </c>
    </row>
    <row r="25" spans="8:13" ht="12.75">
      <c r="H25" s="34"/>
      <c r="I25" s="34"/>
      <c r="J25" s="34"/>
      <c r="K25" s="34"/>
      <c r="L25" s="34"/>
      <c r="M25" s="34"/>
    </row>
    <row r="26" spans="8:13" ht="12.75">
      <c r="H26" s="38"/>
      <c r="I26" s="38"/>
      <c r="J26" s="38"/>
      <c r="K26" s="41"/>
      <c r="L26" s="41"/>
      <c r="M26" s="38"/>
    </row>
    <row r="27" spans="11:12" ht="12.75">
      <c r="K27" s="41"/>
      <c r="L27" s="41"/>
    </row>
    <row r="28" spans="11:12" ht="12.75">
      <c r="K28" s="41"/>
      <c r="L28" s="41"/>
    </row>
    <row r="29" spans="11:12" ht="12.75">
      <c r="K29" s="41"/>
      <c r="L29" s="41"/>
    </row>
    <row r="30" spans="11:12" ht="12.75">
      <c r="K30" s="41"/>
      <c r="L30" s="41"/>
    </row>
    <row r="31" spans="11:12" ht="12.75">
      <c r="K31" s="63"/>
      <c r="L31" s="63"/>
    </row>
    <row r="32" spans="11:12" ht="12.75">
      <c r="K32" s="41"/>
      <c r="L32" s="41"/>
    </row>
    <row r="33" spans="11:12" ht="12.75">
      <c r="K33" s="41"/>
      <c r="L33" s="41"/>
    </row>
    <row r="34" spans="11:12" ht="12.75">
      <c r="K34" s="41"/>
      <c r="L34" s="41"/>
    </row>
    <row r="35" spans="11:12" ht="12.75">
      <c r="K35" s="41"/>
      <c r="L35" s="41"/>
    </row>
    <row r="36" spans="11:12" ht="12.75">
      <c r="K36" s="41"/>
      <c r="L36" s="41"/>
    </row>
    <row r="37" spans="11:12" ht="12.75">
      <c r="K37" s="41"/>
      <c r="L37" s="41"/>
    </row>
    <row r="38" spans="11:12" ht="12.75">
      <c r="K38" s="62"/>
      <c r="L38" s="62"/>
    </row>
    <row r="39" spans="11:12" ht="12.75">
      <c r="K39" s="62"/>
      <c r="L39" s="6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6:F13"/>
  <sheetViews>
    <sheetView zoomScalePageLayoutView="0" workbookViewId="0" topLeftCell="A1">
      <selection activeCell="D21" sqref="D21"/>
    </sheetView>
  </sheetViews>
  <sheetFormatPr defaultColWidth="9.140625" defaultRowHeight="12.75"/>
  <cols>
    <col min="4" max="4" width="46.7109375" style="0" bestFit="1" customWidth="1"/>
    <col min="5" max="5" width="9.7109375" style="0" bestFit="1" customWidth="1"/>
  </cols>
  <sheetData>
    <row r="6" spans="5:6" ht="12.75">
      <c r="E6" s="30" t="s">
        <v>45</v>
      </c>
      <c r="F6" s="30" t="s">
        <v>12</v>
      </c>
    </row>
    <row r="7" spans="4:6" ht="12.75">
      <c r="D7" t="s">
        <v>44</v>
      </c>
      <c r="E7" s="33">
        <v>2582923.349535361</v>
      </c>
      <c r="F7" s="40">
        <f>E7/1000000</f>
        <v>2.5829233495353607</v>
      </c>
    </row>
    <row r="13" ht="12.75">
      <c r="F13" s="6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H34"/>
  <sheetViews>
    <sheetView zoomScalePageLayoutView="0" workbookViewId="0" topLeftCell="A3">
      <selection activeCell="J20" sqref="J20"/>
    </sheetView>
  </sheetViews>
  <sheetFormatPr defaultColWidth="9.140625" defaultRowHeight="12.75"/>
  <cols>
    <col min="3" max="3" width="22.7109375" style="0" bestFit="1" customWidth="1"/>
    <col min="5" max="5" width="10.00390625" style="0" bestFit="1" customWidth="1"/>
    <col min="6" max="6" width="13.7109375" style="0" bestFit="1" customWidth="1"/>
    <col min="7" max="7" width="9.7109375" style="0" bestFit="1" customWidth="1"/>
  </cols>
  <sheetData>
    <row r="3" spans="3:8" ht="12.75">
      <c r="C3" s="96" t="s">
        <v>93</v>
      </c>
      <c r="D3" s="96"/>
      <c r="E3" s="96"/>
      <c r="F3" s="96"/>
      <c r="G3" s="96"/>
      <c r="H3" s="96"/>
    </row>
    <row r="5" spans="3:8" ht="12.75">
      <c r="C5" s="86" t="s">
        <v>94</v>
      </c>
      <c r="D5" s="86" t="s">
        <v>79</v>
      </c>
      <c r="E5" s="86" t="s">
        <v>95</v>
      </c>
      <c r="F5" s="86" t="s">
        <v>78</v>
      </c>
      <c r="G5" s="86" t="s">
        <v>96</v>
      </c>
      <c r="H5" s="86" t="s">
        <v>46</v>
      </c>
    </row>
    <row r="6" spans="3:8" ht="12.75">
      <c r="C6" s="87" t="s">
        <v>97</v>
      </c>
      <c r="D6" s="88">
        <v>1264</v>
      </c>
      <c r="E6" s="88">
        <v>9491</v>
      </c>
      <c r="F6" s="88">
        <v>178</v>
      </c>
      <c r="G6" s="88">
        <v>13676</v>
      </c>
      <c r="H6" s="88">
        <v>24609</v>
      </c>
    </row>
    <row r="7" spans="3:8" ht="12.75">
      <c r="C7" s="87" t="s">
        <v>24</v>
      </c>
      <c r="D7" s="88">
        <v>1211</v>
      </c>
      <c r="E7" s="88">
        <v>6263</v>
      </c>
      <c r="F7" s="88">
        <v>152</v>
      </c>
      <c r="G7" s="88">
        <v>12427</v>
      </c>
      <c r="H7" s="88">
        <v>20053</v>
      </c>
    </row>
    <row r="8" spans="3:8" ht="12.75">
      <c r="C8" s="87" t="s">
        <v>71</v>
      </c>
      <c r="D8" s="88">
        <v>1261</v>
      </c>
      <c r="E8" s="88">
        <v>6810</v>
      </c>
      <c r="F8" s="88">
        <v>151</v>
      </c>
      <c r="G8" s="88">
        <v>12146</v>
      </c>
      <c r="H8" s="88">
        <v>20368</v>
      </c>
    </row>
    <row r="9" spans="3:8" ht="12.75">
      <c r="C9" s="87" t="s">
        <v>72</v>
      </c>
      <c r="D9" s="88">
        <v>1404</v>
      </c>
      <c r="E9" s="88">
        <v>5037</v>
      </c>
      <c r="F9" s="88">
        <v>368</v>
      </c>
      <c r="G9" s="88">
        <v>13841</v>
      </c>
      <c r="H9" s="88">
        <v>20650</v>
      </c>
    </row>
    <row r="10" spans="3:8" ht="12.75">
      <c r="C10" s="87" t="s">
        <v>73</v>
      </c>
      <c r="D10" s="88">
        <v>1360</v>
      </c>
      <c r="E10" s="88">
        <v>99</v>
      </c>
      <c r="F10" s="88">
        <v>334</v>
      </c>
      <c r="G10" s="88">
        <v>13429</v>
      </c>
      <c r="H10" s="88">
        <v>15222</v>
      </c>
    </row>
    <row r="11" spans="3:8" ht="12.75">
      <c r="C11" s="87" t="s">
        <v>74</v>
      </c>
      <c r="D11" s="88">
        <v>1746</v>
      </c>
      <c r="E11" s="88"/>
      <c r="F11" s="88">
        <v>461</v>
      </c>
      <c r="G11" s="88">
        <v>16285</v>
      </c>
      <c r="H11" s="88">
        <v>18492</v>
      </c>
    </row>
    <row r="12" spans="3:8" ht="12.75">
      <c r="C12" s="87" t="s">
        <v>98</v>
      </c>
      <c r="D12" s="88">
        <v>1914</v>
      </c>
      <c r="E12" s="88"/>
      <c r="F12" s="88">
        <v>1084</v>
      </c>
      <c r="G12" s="88">
        <v>19820</v>
      </c>
      <c r="H12" s="88">
        <v>22818</v>
      </c>
    </row>
    <row r="13" spans="3:8" ht="12.75">
      <c r="C13" s="87" t="s">
        <v>99</v>
      </c>
      <c r="D13" s="88">
        <v>1899</v>
      </c>
      <c r="E13" s="88"/>
      <c r="F13" s="88">
        <v>481</v>
      </c>
      <c r="G13" s="88">
        <v>16789</v>
      </c>
      <c r="H13" s="88">
        <v>19169</v>
      </c>
    </row>
    <row r="14" spans="3:8" ht="12.75">
      <c r="C14" s="87" t="s">
        <v>100</v>
      </c>
      <c r="D14" s="88">
        <v>1888</v>
      </c>
      <c r="E14" s="88"/>
      <c r="F14" s="88">
        <v>246</v>
      </c>
      <c r="G14" s="88">
        <v>14836</v>
      </c>
      <c r="H14" s="88">
        <v>16970</v>
      </c>
    </row>
    <row r="15" spans="3:8" ht="12.75">
      <c r="C15" s="87" t="s">
        <v>101</v>
      </c>
      <c r="D15" s="88">
        <v>2135</v>
      </c>
      <c r="E15" s="88"/>
      <c r="F15" s="88">
        <v>224</v>
      </c>
      <c r="G15" s="88">
        <v>13353</v>
      </c>
      <c r="H15" s="88">
        <v>15712</v>
      </c>
    </row>
    <row r="16" spans="3:8" ht="12.75">
      <c r="C16" s="87" t="s">
        <v>102</v>
      </c>
      <c r="D16" s="88">
        <v>1717</v>
      </c>
      <c r="E16" s="88"/>
      <c r="F16" s="88">
        <v>261</v>
      </c>
      <c r="G16" s="88">
        <v>9729</v>
      </c>
      <c r="H16" s="88">
        <v>11707</v>
      </c>
    </row>
    <row r="17" spans="3:8" ht="12.75">
      <c r="C17" s="87" t="s">
        <v>103</v>
      </c>
      <c r="D17" s="88">
        <v>1831</v>
      </c>
      <c r="E17" s="88"/>
      <c r="F17" s="88">
        <v>454</v>
      </c>
      <c r="G17" s="88">
        <v>9140</v>
      </c>
      <c r="H17" s="88">
        <v>11425</v>
      </c>
    </row>
    <row r="18" spans="3:8" ht="12.75">
      <c r="C18" s="87"/>
      <c r="D18" s="88"/>
      <c r="E18" s="88"/>
      <c r="F18" s="88"/>
      <c r="G18" s="88"/>
      <c r="H18" s="88"/>
    </row>
    <row r="19" spans="3:8" ht="12.75">
      <c r="C19" s="35" t="s">
        <v>46</v>
      </c>
      <c r="D19" s="89">
        <f>SUM(D6:D18)</f>
        <v>19630</v>
      </c>
      <c r="E19" s="89">
        <f>SUM(E6:E18)</f>
        <v>27700</v>
      </c>
      <c r="F19" s="89">
        <f>SUM(F6:F18)</f>
        <v>4394</v>
      </c>
      <c r="G19" s="89">
        <f>SUM(G6:G18)</f>
        <v>165471</v>
      </c>
      <c r="H19" s="89">
        <f>SUM(H6:H18)</f>
        <v>217195</v>
      </c>
    </row>
    <row r="20" spans="3:8" ht="12.75">
      <c r="C20" s="87"/>
      <c r="D20" s="87"/>
      <c r="E20" s="87"/>
      <c r="F20" s="87"/>
      <c r="G20" s="87"/>
      <c r="H20" s="87"/>
    </row>
    <row r="21" spans="3:8" ht="12.75">
      <c r="C21" s="87" t="s">
        <v>104</v>
      </c>
      <c r="D21" s="87"/>
      <c r="E21" s="87"/>
      <c r="F21" s="87"/>
      <c r="G21" s="87"/>
      <c r="H21" s="88">
        <v>246060</v>
      </c>
    </row>
    <row r="22" spans="3:8" ht="12.75">
      <c r="C22" s="87"/>
      <c r="D22" s="87"/>
      <c r="E22" s="87"/>
      <c r="F22" s="87"/>
      <c r="G22" s="87"/>
      <c r="H22" s="88"/>
    </row>
    <row r="23" spans="3:8" ht="12.75">
      <c r="C23" s="87" t="s">
        <v>63</v>
      </c>
      <c r="D23" s="87"/>
      <c r="E23" s="87"/>
      <c r="F23" s="87"/>
      <c r="G23" s="87"/>
      <c r="H23" s="88">
        <f>H21-H19</f>
        <v>28865</v>
      </c>
    </row>
    <row r="24" spans="3:8" ht="12.75">
      <c r="C24" s="90"/>
      <c r="D24" s="90"/>
      <c r="E24" s="90"/>
      <c r="F24" s="90"/>
      <c r="G24" s="90"/>
      <c r="H24" s="91"/>
    </row>
    <row r="25" spans="3:8" ht="12.75">
      <c r="C25" s="90" t="s">
        <v>105</v>
      </c>
      <c r="D25" s="90"/>
      <c r="E25" s="90"/>
      <c r="F25" s="90"/>
      <c r="G25" s="90"/>
      <c r="H25" s="91">
        <f>H23*E29</f>
        <v>747848.2751999999</v>
      </c>
    </row>
    <row r="26" ht="12.75">
      <c r="H26" s="33"/>
    </row>
    <row r="27" spans="3:8" ht="12.75">
      <c r="C27" t="s">
        <v>80</v>
      </c>
      <c r="E27" s="57">
        <v>23.4</v>
      </c>
      <c r="H27" s="33"/>
    </row>
    <row r="28" spans="3:8" ht="12.75">
      <c r="C28" t="s">
        <v>81</v>
      </c>
      <c r="E28" s="57">
        <v>1.1072</v>
      </c>
      <c r="H28" s="33"/>
    </row>
    <row r="29" spans="3:8" ht="12.75">
      <c r="C29" t="s">
        <v>106</v>
      </c>
      <c r="E29" s="57">
        <v>25.908479999999997</v>
      </c>
      <c r="H29" s="33"/>
    </row>
    <row r="30" ht="12.75">
      <c r="H30" s="33"/>
    </row>
    <row r="31" ht="12.75">
      <c r="H31" s="33"/>
    </row>
    <row r="32" ht="12.75">
      <c r="H32" s="33"/>
    </row>
    <row r="33" ht="12.75">
      <c r="H33" s="33"/>
    </row>
    <row r="34" ht="12.75">
      <c r="H34" s="33"/>
    </row>
  </sheetData>
  <sheetProtection/>
  <mergeCells count="1">
    <mergeCell ref="C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21">
      <selection activeCell="J37" sqref="J37"/>
    </sheetView>
  </sheetViews>
  <sheetFormatPr defaultColWidth="9.140625" defaultRowHeight="12.75"/>
  <cols>
    <col min="4" max="4" width="23.57421875" style="0" bestFit="1" customWidth="1"/>
    <col min="5" max="5" width="11.8515625" style="0" bestFit="1" customWidth="1"/>
    <col min="6" max="6" width="18.421875" style="0" customWidth="1"/>
    <col min="7" max="7" width="11.7109375" style="0" bestFit="1" customWidth="1"/>
  </cols>
  <sheetData>
    <row r="2" spans="6:7" ht="12.75">
      <c r="F2" s="30"/>
      <c r="G2" s="30" t="s">
        <v>40</v>
      </c>
    </row>
    <row r="3" spans="5:8" ht="12.75">
      <c r="E3" s="45" t="s">
        <v>52</v>
      </c>
      <c r="F3" s="45" t="s">
        <v>53</v>
      </c>
      <c r="G3" s="45" t="s">
        <v>54</v>
      </c>
      <c r="H3" s="45" t="s">
        <v>54</v>
      </c>
    </row>
    <row r="4" spans="5:8" ht="12.75">
      <c r="E4" t="s">
        <v>51</v>
      </c>
      <c r="F4" t="s">
        <v>51</v>
      </c>
      <c r="G4" s="30" t="s">
        <v>36</v>
      </c>
      <c r="H4" t="s">
        <v>63</v>
      </c>
    </row>
    <row r="5" spans="5:7" ht="12.75">
      <c r="E5" s="30" t="s">
        <v>45</v>
      </c>
      <c r="F5" s="30" t="s">
        <v>45</v>
      </c>
      <c r="G5" s="30" t="s">
        <v>45</v>
      </c>
    </row>
    <row r="6" spans="4:9" ht="12.75">
      <c r="D6" t="s">
        <v>47</v>
      </c>
      <c r="E6" s="33">
        <v>21190000</v>
      </c>
      <c r="F6" s="33" t="e">
        <f>E6*$E$15</f>
        <v>#REF!</v>
      </c>
      <c r="G6" s="33">
        <f>G22</f>
        <v>24192919</v>
      </c>
      <c r="H6" s="33" t="e">
        <f>G6-F6</f>
        <v>#REF!</v>
      </c>
      <c r="I6">
        <f>G6/1000000</f>
        <v>24.192919</v>
      </c>
    </row>
    <row r="7" spans="4:9" ht="12.75">
      <c r="D7" t="s">
        <v>48</v>
      </c>
      <c r="E7" s="33">
        <v>1070000</v>
      </c>
      <c r="F7" s="33" t="e">
        <f>E7*$E$15</f>
        <v>#REF!</v>
      </c>
      <c r="G7" s="33">
        <f>G26</f>
        <v>1321753</v>
      </c>
      <c r="H7" s="33" t="e">
        <f>G7-F7</f>
        <v>#REF!</v>
      </c>
      <c r="I7">
        <f>G7/1000000</f>
        <v>1.321753</v>
      </c>
    </row>
    <row r="8" spans="4:9" ht="12.75">
      <c r="D8" s="46" t="s">
        <v>49</v>
      </c>
      <c r="E8" s="47">
        <v>2720000</v>
      </c>
      <c r="F8" s="47" t="e">
        <f>E8*$E$15</f>
        <v>#REF!</v>
      </c>
      <c r="G8" s="47">
        <f>G19</f>
        <v>2957838.48</v>
      </c>
      <c r="H8" s="47" t="e">
        <f>G8-F8</f>
        <v>#REF!</v>
      </c>
      <c r="I8">
        <f>G8/1000000</f>
        <v>2.95783848</v>
      </c>
    </row>
    <row r="9" spans="4:8" ht="12.75">
      <c r="D9" t="s">
        <v>50</v>
      </c>
      <c r="E9" s="33">
        <f>SUM(E6:E8)</f>
        <v>24980000</v>
      </c>
      <c r="F9" s="33" t="e">
        <f>SUM(F6:F8)</f>
        <v>#REF!</v>
      </c>
      <c r="G9" s="33">
        <f>SUM(G6:G8)</f>
        <v>28472510.48</v>
      </c>
      <c r="H9" s="33" t="e">
        <f>SUM(H6:H8)</f>
        <v>#REF!</v>
      </c>
    </row>
    <row r="11" spans="4:8" ht="12.75">
      <c r="D11" t="s">
        <v>12</v>
      </c>
      <c r="E11" s="40">
        <f>E9/1000000</f>
        <v>24.98</v>
      </c>
      <c r="F11" s="40" t="e">
        <f>F9/1000000</f>
        <v>#REF!</v>
      </c>
      <c r="G11" s="40">
        <f>G9/1000000</f>
        <v>28.47251048</v>
      </c>
      <c r="H11" s="40" t="e">
        <f>H9/1000000</f>
        <v>#REF!</v>
      </c>
    </row>
    <row r="13" ht="12.75">
      <c r="F13" t="e">
        <f>F8/1000000</f>
        <v>#REF!</v>
      </c>
    </row>
    <row r="14" ht="12.75">
      <c r="B14" t="s">
        <v>40</v>
      </c>
    </row>
    <row r="15" spans="2:5" ht="12.75">
      <c r="B15" t="s">
        <v>55</v>
      </c>
      <c r="E15" s="39" t="e">
        <f>'Mod 186'!#REF!</f>
        <v>#REF!</v>
      </c>
    </row>
    <row r="16" spans="6:8" ht="12.75">
      <c r="F16" s="30" t="s">
        <v>40</v>
      </c>
      <c r="H16" s="42"/>
    </row>
    <row r="17" spans="6:7" ht="12.75">
      <c r="F17" s="43" t="s">
        <v>56</v>
      </c>
      <c r="G17" s="30" t="s">
        <v>45</v>
      </c>
    </row>
    <row r="18" spans="6:7" ht="12.75">
      <c r="F18" t="s">
        <v>57</v>
      </c>
      <c r="G18" s="33">
        <v>246486.54</v>
      </c>
    </row>
    <row r="19" spans="6:7" ht="12.75">
      <c r="F19" t="s">
        <v>58</v>
      </c>
      <c r="G19" s="33">
        <f>G18*12</f>
        <v>2957838.48</v>
      </c>
    </row>
    <row r="21" spans="6:7" ht="12.75">
      <c r="F21" s="1" t="s">
        <v>61</v>
      </c>
      <c r="G21" s="30" t="str">
        <f>G17</f>
        <v>£</v>
      </c>
    </row>
    <row r="22" spans="6:7" ht="12.75">
      <c r="F22" t="s">
        <v>62</v>
      </c>
      <c r="G22" s="33">
        <v>24192919</v>
      </c>
    </row>
    <row r="25" spans="6:7" ht="12.75">
      <c r="F25" s="1" t="s">
        <v>59</v>
      </c>
      <c r="G25" s="30" t="str">
        <f>G21</f>
        <v>£</v>
      </c>
    </row>
    <row r="26" spans="6:7" ht="12.75">
      <c r="F26" t="s">
        <v>60</v>
      </c>
      <c r="G26" s="33">
        <v>1321753</v>
      </c>
    </row>
    <row r="28" ht="12.75">
      <c r="D28" t="s">
        <v>91</v>
      </c>
    </row>
    <row r="29" spans="4:7" ht="12.75">
      <c r="D29" s="1" t="s">
        <v>89</v>
      </c>
      <c r="E29" s="30" t="s">
        <v>84</v>
      </c>
      <c r="G29" t="s">
        <v>85</v>
      </c>
    </row>
    <row r="30" spans="4:5" ht="12.75">
      <c r="D30" s="80">
        <v>38504</v>
      </c>
      <c r="E30" s="33">
        <v>-500</v>
      </c>
    </row>
    <row r="31" spans="4:5" ht="12.75">
      <c r="D31" s="80">
        <v>38534</v>
      </c>
      <c r="E31" s="33">
        <v>-750</v>
      </c>
    </row>
    <row r="32" spans="4:5" ht="12.75">
      <c r="D32" s="80">
        <v>38657</v>
      </c>
      <c r="E32" s="33">
        <v>-500</v>
      </c>
    </row>
    <row r="33" spans="4:7" ht="12.75">
      <c r="D33" s="80">
        <v>38749</v>
      </c>
      <c r="E33" s="33">
        <v>-125</v>
      </c>
      <c r="F33" s="33">
        <f>SUM(E30:E33)</f>
        <v>-1875</v>
      </c>
      <c r="G33" s="30" t="s">
        <v>86</v>
      </c>
    </row>
    <row r="34" spans="4:5" ht="12.75">
      <c r="D34" s="80">
        <v>38869</v>
      </c>
      <c r="E34" s="33">
        <v>-375</v>
      </c>
    </row>
    <row r="35" spans="4:5" ht="12.75">
      <c r="D35" s="80">
        <v>38961</v>
      </c>
      <c r="E35" s="33">
        <v>-125</v>
      </c>
    </row>
    <row r="36" spans="4:5" ht="12.75">
      <c r="D36" s="80">
        <v>39083</v>
      </c>
      <c r="E36" s="33">
        <v>-375</v>
      </c>
    </row>
    <row r="37" spans="4:7" ht="12.75">
      <c r="D37" s="80">
        <v>39114</v>
      </c>
      <c r="E37" s="33">
        <v>-1000</v>
      </c>
      <c r="F37" s="33">
        <f>SUM(E34:E37)</f>
        <v>-1875</v>
      </c>
      <c r="G37" s="30" t="s">
        <v>87</v>
      </c>
    </row>
    <row r="38" spans="4:5" ht="12.75">
      <c r="D38" s="80">
        <v>39326</v>
      </c>
      <c r="E38" s="33">
        <v>-1625</v>
      </c>
    </row>
    <row r="39" spans="4:7" ht="12.75">
      <c r="D39" s="80">
        <v>39508</v>
      </c>
      <c r="E39" s="33">
        <v>-250</v>
      </c>
      <c r="F39" s="33">
        <f>SUM(E38:E39)</f>
        <v>-1875</v>
      </c>
      <c r="G39" s="30" t="s">
        <v>88</v>
      </c>
    </row>
    <row r="40" spans="4:5" ht="12.75">
      <c r="D40" s="80">
        <v>39539</v>
      </c>
      <c r="E40" s="33">
        <v>-750</v>
      </c>
    </row>
    <row r="41" spans="4:5" ht="12.75">
      <c r="D41" s="80">
        <v>39569</v>
      </c>
      <c r="E41" s="33">
        <v>-875</v>
      </c>
    </row>
    <row r="42" spans="4:5" ht="12.75">
      <c r="D42" s="80">
        <v>39630</v>
      </c>
      <c r="E42" s="33">
        <v>-250</v>
      </c>
    </row>
    <row r="43" spans="4:5" ht="12.75">
      <c r="D43" s="80">
        <v>39814</v>
      </c>
      <c r="E43" s="33">
        <v>-750</v>
      </c>
    </row>
    <row r="44" spans="4:7" ht="12.75">
      <c r="D44" s="81">
        <v>39873</v>
      </c>
      <c r="E44" s="47">
        <v>-125</v>
      </c>
      <c r="F44" s="82">
        <f>SUM(E40:E44)</f>
        <v>-2750</v>
      </c>
      <c r="G44" s="61" t="s">
        <v>14</v>
      </c>
    </row>
    <row r="45" spans="4:6" ht="12.75">
      <c r="D45" s="30" t="s">
        <v>46</v>
      </c>
      <c r="E45" s="33">
        <f>SUM(E30:E44)</f>
        <v>-8375</v>
      </c>
      <c r="F45" s="33">
        <f>SUM(F30:F44)</f>
        <v>-8375</v>
      </c>
    </row>
    <row r="47" spans="5:6" ht="12.75">
      <c r="E47" s="32" t="s">
        <v>90</v>
      </c>
      <c r="F47">
        <f>-F44/1000000</f>
        <v>0.00275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Steven.J.Edwards</dc:creator>
  <cp:keywords/>
  <dc:description/>
  <cp:lastModifiedBy>John Edwards</cp:lastModifiedBy>
  <cp:lastPrinted>2011-01-20T16:18:04Z</cp:lastPrinted>
  <dcterms:created xsi:type="dcterms:W3CDTF">2007-10-15T10:03:07Z</dcterms:created>
  <dcterms:modified xsi:type="dcterms:W3CDTF">2011-01-24T09:29:10Z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