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75" windowHeight="9405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<sst xmlns="http://schemas.openxmlformats.org/spreadsheetml/2006/main" count="57" uniqueCount="55">
  <si>
    <t>MOD 186 Report</t>
  </si>
  <si>
    <t>£m</t>
  </si>
  <si>
    <t>2008/9</t>
  </si>
  <si>
    <t>2009/10</t>
  </si>
  <si>
    <t>2010/11</t>
  </si>
  <si>
    <t>2011/12</t>
  </si>
  <si>
    <t>2012/13</t>
  </si>
  <si>
    <t>2013/14</t>
  </si>
  <si>
    <t>2014/15</t>
  </si>
  <si>
    <t>Core Allowed</t>
  </si>
  <si>
    <t>Cost Pass Through</t>
  </si>
  <si>
    <t>Shrinkage Allowance</t>
  </si>
  <si>
    <t>Final Allowed Rev per PCR</t>
  </si>
  <si>
    <t>Inflation Assumed</t>
  </si>
  <si>
    <t>Final Allowed Rev per PCR at prices of year</t>
  </si>
  <si>
    <t>Cost Pass through Movements</t>
  </si>
  <si>
    <t>Incentives Movement</t>
  </si>
  <si>
    <t>K Movement</t>
  </si>
  <si>
    <t>Final Allowed Revenue Latest Forecast</t>
  </si>
  <si>
    <t>% of previous year</t>
  </si>
  <si>
    <t>Forecast Collected Revenue</t>
  </si>
  <si>
    <t>Forecast Under / Over Recovery ( K )</t>
  </si>
  <si>
    <t>Arithmetical October/April Price level change needed for Collected to = Allowed</t>
  </si>
  <si>
    <t>Actual Price Adjustment</t>
  </si>
  <si>
    <t>Indicative Price Adjustment</t>
  </si>
  <si>
    <t>Reported Price Adjustment in the January 11 Mod 186 Presentation</t>
  </si>
  <si>
    <t>K C/fwd</t>
  </si>
  <si>
    <t>% (Over)/Under recovery</t>
  </si>
  <si>
    <t>Comments</t>
  </si>
  <si>
    <t>(i) Shrinkage costs are finalised.</t>
  </si>
  <si>
    <t>(ii) Inflation for 2010/11 was -0.4% based on actuals for July to Dec 09.</t>
  </si>
  <si>
    <t>(iii)  Incentives for 2010/11relate to exit capacity, metering tipping point, emissions and MSRA.</t>
  </si>
  <si>
    <t>(i) Shrinkage costs are based on 'day ahead' prices dated 8th April 2011 multiplied by the shrinkage gas quantities given in the licence .</t>
  </si>
  <si>
    <t>(ii) Inflation for 2011/12 is now finalised at 4.7% based on actuals for July to Dec 10.</t>
  </si>
  <si>
    <t>(iii)  We have assumed capacity income will fall by 4.0% from Oct 11, following the AQ review.</t>
  </si>
  <si>
    <t>(iv)  Incentives for 2011/12 relate to capacity output, metering tipping point, emissions and MSRA.</t>
  </si>
  <si>
    <t>Future Years</t>
  </si>
  <si>
    <t>(ii) Inflation of 4.2% has been used for 2012/13 and 3% for each year thereaftyer.</t>
  </si>
  <si>
    <t>(iii) For 2012/13 onwards we have not assumed a fall in capacity income following AQ reviews.</t>
  </si>
  <si>
    <t>(iv) As 2013/14 represents the start of a new PCR period and we are unsure what the outcome will be we have used the Allowed Revenue figure for 2012/13 and inflated it by 3.0%</t>
  </si>
  <si>
    <t>Similarly, 2014/15 has been inflated by a further 3%.</t>
  </si>
  <si>
    <t>(vi) No account has been taken of TMA costs as we are still not sure of the impact in this Network.</t>
  </si>
  <si>
    <t>(vii) We have not included NTS exit capacity charges for 2012/13 and 2013/14 as we are not sure, at this time, of the level of these charges .</t>
  </si>
  <si>
    <t>Sensitivities: 2011/12</t>
  </si>
  <si>
    <t>(i) A 1% fall in capacity income between Oct 11 and Mar 12, following Oct 11 AQ review and based on a 15.0% increase is equivalent to a price increase of 0.5% from 1st April 11.</t>
  </si>
  <si>
    <t xml:space="preserve">(ii) If shrinkage costs, for Allowed Revenue purposes, increased on average by 10% for 2011/12, this would equate to a price inctrease of approximately 0.3% from 1st April 11. </t>
  </si>
  <si>
    <t>(iii) A 1% increase in Allowed Revenue for 2011/12, given our price adjustment and assumptions for 2011/12, is equivalent to a 1% price increase.</t>
  </si>
  <si>
    <t xml:space="preserve">This report is published as a goodwill gesture from Wales &amp; West Utilities to all Shippers following the implementation of Mod 186. </t>
  </si>
  <si>
    <t>It is published on a without prejudice basis and whilst every effort has been made to ensure the accuracy of the information</t>
  </si>
  <si>
    <t>contained here, it is primarily a forecast.</t>
  </si>
  <si>
    <t>Assume 2.5%</t>
  </si>
  <si>
    <t>Average Int Rate</t>
  </si>
  <si>
    <t>PRt</t>
  </si>
  <si>
    <t>Total Interest</t>
  </si>
  <si>
    <t>K Adj.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</si>
</sst>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000_ ;[Red]\-#,##0.0000\ "/>
    <numFmt numFmtId="166" formatCode="#,##0.00_ ;[Red]\-#,##0.00\ "/>
    <numFmt numFmtId="167" formatCode="#,##0.0_ ;[Red]\-#,##0.0\ "/>
    <numFmt numFmtId="168" formatCode="0.0%"/>
    <numFmt numFmtId="169" formatCode="0.0"/>
    <numFmt numFmtId="170" formatCode="0.00%_);_)\(0.00%\)"/>
    <numFmt numFmtId="171" formatCode="_-[$€-2]* #,##0.00_-;\-[$€-2]* #,##0.00_-;_-[$€-2]* &quot;-&quot;??_-"/>
    <numFmt numFmtId="172" formatCode="#,##0_);_)\(#,##0\);\-_);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u val="single"/>
      <sz val="11"/>
      <color indexed="48"/>
      <name val="CG Omega"/>
      <family val="2"/>
    </font>
    <font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6" fillId="31" borderId="0">
      <alignment/>
      <protection/>
    </xf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24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172" fontId="3" fillId="0" borderId="0" applyProtection="0">
      <alignment horizontal="right"/>
    </xf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7" fillId="0" borderId="0">
      <alignment horizontal="center"/>
      <protection/>
    </xf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67" fontId="3" fillId="0" borderId="12" xfId="0" applyNumberFormat="1" applyFont="1" applyBorder="1" applyAlignment="1">
      <alignment horizontal="right"/>
    </xf>
    <xf numFmtId="167" fontId="3" fillId="34" borderId="12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167" fontId="3" fillId="35" borderId="11" xfId="0" applyNumberFormat="1" applyFont="1" applyFill="1" applyBorder="1" applyAlignment="1">
      <alignment horizontal="right"/>
    </xf>
    <xf numFmtId="167" fontId="3" fillId="34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7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166" fontId="3" fillId="34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34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/>
    </xf>
    <xf numFmtId="169" fontId="3" fillId="34" borderId="12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167" fontId="3" fillId="36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167" fontId="4" fillId="0" borderId="12" xfId="0" applyNumberFormat="1" applyFont="1" applyFill="1" applyBorder="1" applyAlignment="1">
      <alignment horizontal="right"/>
    </xf>
    <xf numFmtId="167" fontId="4" fillId="34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37" borderId="11" xfId="0" applyFont="1" applyFill="1" applyBorder="1" applyAlignment="1">
      <alignment/>
    </xf>
    <xf numFmtId="167" fontId="4" fillId="37" borderId="11" xfId="0" applyNumberFormat="1" applyFont="1" applyFill="1" applyBorder="1" applyAlignment="1">
      <alignment horizontal="right"/>
    </xf>
    <xf numFmtId="167" fontId="4" fillId="34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wrapText="1"/>
    </xf>
    <xf numFmtId="168" fontId="4" fillId="36" borderId="13" xfId="0" applyNumberFormat="1" applyFont="1" applyFill="1" applyBorder="1" applyAlignment="1">
      <alignment horizontal="center"/>
    </xf>
    <xf numFmtId="168" fontId="4" fillId="34" borderId="13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4" fillId="34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0" fontId="3" fillId="38" borderId="11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0" fontId="3" fillId="0" borderId="15" xfId="61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</cellXfs>
  <cellStyles count="54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Data" xfId="56"/>
    <cellStyle name="Linked Cell" xfId="57"/>
    <cellStyle name="Neutral" xfId="58"/>
    <cellStyle name="Note" xfId="59"/>
    <cellStyle name="Output" xfId="60"/>
    <cellStyle name="Percent" xfId="61"/>
    <cellStyle name="Std_0" xfId="62"/>
    <cellStyle name="Style 1" xfId="63"/>
    <cellStyle name="Title" xfId="64"/>
    <cellStyle name="Total" xfId="65"/>
    <cellStyle name="Units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test%20WWUMod186%20detailed%20report%20for%20Apr11dated%208.4.11%20Presen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 186"/>
      <sheetName val="Incentives Summary"/>
      <sheetName val="shrinkage 2008_9"/>
      <sheetName val="Exit Capacity Incentive 2008_9"/>
      <sheetName val="Metering Tip Point 2008_9"/>
      <sheetName val="Cost Pass Thru 2008_9"/>
      <sheetName val="Core Allowed"/>
      <sheetName val="IFID 2008_09"/>
      <sheetName val="IFID 2009_10"/>
      <sheetName val="IFID 2010_11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</sheetNames>
    <sheetDataSet>
      <sheetData sheetId="1">
        <row r="15">
          <cell r="D15">
            <v>4.627415900858493</v>
          </cell>
        </row>
      </sheetData>
      <sheetData sheetId="2">
        <row r="19">
          <cell r="N19">
            <v>7.557226485607338</v>
          </cell>
        </row>
      </sheetData>
      <sheetData sheetId="5">
        <row r="11">
          <cell r="E11">
            <v>24.98</v>
          </cell>
          <cell r="H11">
            <v>0.8149764031722457</v>
          </cell>
        </row>
        <row r="47">
          <cell r="F47">
            <v>0.00275</v>
          </cell>
        </row>
      </sheetData>
      <sheetData sheetId="6">
        <row r="14">
          <cell r="D14">
            <v>232.23999999999998</v>
          </cell>
          <cell r="E14">
            <v>234.48</v>
          </cell>
          <cell r="F14">
            <v>237.48999999999998</v>
          </cell>
          <cell r="G14">
            <v>239.6</v>
          </cell>
        </row>
      </sheetData>
      <sheetData sheetId="15">
        <row r="9">
          <cell r="Q9">
            <v>4.409667424081135</v>
          </cell>
        </row>
        <row r="27">
          <cell r="Q27">
            <v>7.297716309933549</v>
          </cell>
        </row>
        <row r="45">
          <cell r="Q45">
            <v>9.42408983794841</v>
          </cell>
        </row>
        <row r="63">
          <cell r="Q63">
            <v>9.630001247002978</v>
          </cell>
        </row>
      </sheetData>
      <sheetData sheetId="18">
        <row r="11">
          <cell r="B11">
            <v>24910000</v>
          </cell>
        </row>
      </sheetData>
      <sheetData sheetId="19">
        <row r="11">
          <cell r="B11">
            <v>24840000</v>
          </cell>
        </row>
      </sheetData>
      <sheetData sheetId="20">
        <row r="11">
          <cell r="B11">
            <v>24780000</v>
          </cell>
        </row>
      </sheetData>
      <sheetData sheetId="21">
        <row r="11">
          <cell r="B11">
            <v>24720000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65.421875" style="2" customWidth="1"/>
    <col min="2" max="2" width="12.8515625" style="54" hidden="1" customWidth="1"/>
    <col min="3" max="3" width="10.57421875" style="54" bestFit="1" customWidth="1"/>
    <col min="4" max="6" width="8.7109375" style="54" bestFit="1" customWidth="1"/>
    <col min="7" max="7" width="8.7109375" style="2" bestFit="1" customWidth="1"/>
    <col min="8" max="8" width="7.57421875" style="2" bestFit="1" customWidth="1"/>
    <col min="9" max="16384" width="9.140625" style="2" customWidth="1"/>
  </cols>
  <sheetData>
    <row r="1" spans="1:6" ht="12">
      <c r="A1" s="68" t="s">
        <v>0</v>
      </c>
      <c r="B1" s="68"/>
      <c r="C1" s="68"/>
      <c r="D1" s="68"/>
      <c r="E1" s="68"/>
      <c r="F1" s="68"/>
    </row>
    <row r="2" spans="2:8" ht="12">
      <c r="B2" s="3"/>
      <c r="C2" s="3"/>
      <c r="D2" s="3"/>
      <c r="E2" s="3"/>
      <c r="F2" s="3"/>
      <c r="G2" s="4"/>
      <c r="H2" s="4"/>
    </row>
    <row r="3" spans="1:6" ht="12">
      <c r="A3" s="5"/>
      <c r="B3" s="6"/>
      <c r="C3" s="7"/>
      <c r="D3" s="8"/>
      <c r="E3" s="8"/>
      <c r="F3" s="9"/>
    </row>
    <row r="4" spans="1:8" ht="12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 t="s">
        <v>8</v>
      </c>
    </row>
    <row r="5" spans="1:8" ht="12">
      <c r="A5" s="13"/>
      <c r="B5" s="14"/>
      <c r="C5" s="14"/>
      <c r="D5" s="14"/>
      <c r="E5" s="14"/>
      <c r="F5" s="14"/>
      <c r="G5" s="15"/>
      <c r="H5" s="15"/>
    </row>
    <row r="6" spans="1:8" ht="12">
      <c r="A6" s="13" t="s">
        <v>9</v>
      </c>
      <c r="B6" s="17">
        <v>220.76</v>
      </c>
      <c r="C6" s="17">
        <f>'[1]Core Allowed'!D14</f>
        <v>232.23999999999998</v>
      </c>
      <c r="D6" s="17">
        <f>'[1]Core Allowed'!E14</f>
        <v>234.48</v>
      </c>
      <c r="E6" s="17">
        <f>'[1]Core Allowed'!F14</f>
        <v>237.48999999999998</v>
      </c>
      <c r="F6" s="17">
        <f>'[1]Core Allowed'!G14</f>
        <v>239.6</v>
      </c>
      <c r="G6" s="18"/>
      <c r="H6" s="18"/>
    </row>
    <row r="7" spans="1:8" ht="12">
      <c r="A7" s="13" t="s">
        <v>10</v>
      </c>
      <c r="B7" s="17">
        <f>'[1]Cost Pass Thru 2008_9'!E11</f>
        <v>24.98</v>
      </c>
      <c r="C7" s="17">
        <f>'[1]Cost Pass Through 2009_10'!B11/1000000</f>
        <v>24.91</v>
      </c>
      <c r="D7" s="17">
        <f>'[1]Cost Pass Through 2010_11'!B11/1000000</f>
        <v>24.84</v>
      </c>
      <c r="E7" s="17">
        <f>'[1]Cost Pass Through 2011_12'!B11/1000000</f>
        <v>24.78</v>
      </c>
      <c r="F7" s="17">
        <f>'[1]Cost Pass Through 2012_13'!B11/1000000</f>
        <v>24.72</v>
      </c>
      <c r="G7" s="18"/>
      <c r="H7" s="18"/>
    </row>
    <row r="8" spans="1:8" ht="12">
      <c r="A8" s="13" t="s">
        <v>11</v>
      </c>
      <c r="B8" s="17">
        <f>'[1]shrinkage 2008_9'!N19</f>
        <v>7.557226485607338</v>
      </c>
      <c r="C8" s="17">
        <f>'[1]shrinkage 2009_10 to 2012_13'!Q9</f>
        <v>4.409667424081135</v>
      </c>
      <c r="D8" s="17">
        <f>'[1]shrinkage 2009_10 to 2012_13'!Q27</f>
        <v>7.297716309933549</v>
      </c>
      <c r="E8" s="17">
        <f>'[1]shrinkage 2009_10 to 2012_13'!Q45</f>
        <v>9.42408983794841</v>
      </c>
      <c r="F8" s="17">
        <f>'[1]shrinkage 2009_10 to 2012_13'!Q63</f>
        <v>9.630001247002978</v>
      </c>
      <c r="G8" s="18"/>
      <c r="H8" s="18"/>
    </row>
    <row r="9" spans="1:8" ht="12">
      <c r="A9" s="13"/>
      <c r="B9" s="17"/>
      <c r="C9" s="17"/>
      <c r="D9" s="17"/>
      <c r="E9" s="17"/>
      <c r="F9" s="17"/>
      <c r="G9" s="18"/>
      <c r="H9" s="18"/>
    </row>
    <row r="10" spans="1:8" s="22" customFormat="1" ht="12">
      <c r="A10" s="19" t="s">
        <v>12</v>
      </c>
      <c r="B10" s="20">
        <f aca="true" t="shared" si="0" ref="B10:H10">+B6+B7+B8</f>
        <v>253.29722648560733</v>
      </c>
      <c r="C10" s="20">
        <f t="shared" si="0"/>
        <v>261.5596674240811</v>
      </c>
      <c r="D10" s="20">
        <f t="shared" si="0"/>
        <v>266.61771630993354</v>
      </c>
      <c r="E10" s="20">
        <f t="shared" si="0"/>
        <v>271.6940898379484</v>
      </c>
      <c r="F10" s="20">
        <f t="shared" si="0"/>
        <v>273.95000124700294</v>
      </c>
      <c r="G10" s="21">
        <f t="shared" si="0"/>
        <v>0</v>
      </c>
      <c r="H10" s="21">
        <f t="shared" si="0"/>
        <v>0</v>
      </c>
    </row>
    <row r="11" spans="1:8" ht="12">
      <c r="A11" s="16"/>
      <c r="B11" s="23"/>
      <c r="C11" s="23"/>
      <c r="D11" s="23"/>
      <c r="E11" s="23"/>
      <c r="F11" s="23"/>
      <c r="G11" s="18"/>
      <c r="H11" s="18"/>
    </row>
    <row r="12" spans="1:8" ht="12">
      <c r="A12" s="16" t="s">
        <v>13</v>
      </c>
      <c r="B12" s="24">
        <v>1.1071871127633208</v>
      </c>
      <c r="C12" s="24">
        <v>1.1495</v>
      </c>
      <c r="D12" s="24">
        <v>1.1451</v>
      </c>
      <c r="E12" s="24">
        <v>1.1988</v>
      </c>
      <c r="F12" s="24">
        <v>1.2488</v>
      </c>
      <c r="G12" s="25">
        <f>F12*1.03</f>
        <v>1.2862639999999999</v>
      </c>
      <c r="H12" s="25">
        <f>G12*1.03</f>
        <v>1.32485192</v>
      </c>
    </row>
    <row r="13" spans="1:8" ht="12">
      <c r="A13" s="16"/>
      <c r="B13" s="23"/>
      <c r="C13" s="23"/>
      <c r="D13" s="23"/>
      <c r="E13" s="23"/>
      <c r="F13" s="23"/>
      <c r="G13" s="18"/>
      <c r="H13" s="18"/>
    </row>
    <row r="14" spans="1:8" s="22" customFormat="1" ht="12">
      <c r="A14" s="19" t="s">
        <v>14</v>
      </c>
      <c r="B14" s="20">
        <f aca="true" t="shared" si="1" ref="B14:H14">+B10*B12</f>
        <v>280.44742486355653</v>
      </c>
      <c r="C14" s="20">
        <f t="shared" si="1"/>
        <v>300.6628377039812</v>
      </c>
      <c r="D14" s="20">
        <f t="shared" si="1"/>
        <v>305.3039469465049</v>
      </c>
      <c r="E14" s="20">
        <f t="shared" si="1"/>
        <v>325.7068748977326</v>
      </c>
      <c r="F14" s="20">
        <f t="shared" si="1"/>
        <v>342.10876155725725</v>
      </c>
      <c r="G14" s="21">
        <f t="shared" si="1"/>
        <v>0</v>
      </c>
      <c r="H14" s="21">
        <f t="shared" si="1"/>
        <v>0</v>
      </c>
    </row>
    <row r="15" spans="1:8" ht="12">
      <c r="A15" s="16"/>
      <c r="B15" s="23"/>
      <c r="C15" s="23"/>
      <c r="D15" s="23"/>
      <c r="E15" s="23"/>
      <c r="F15" s="23"/>
      <c r="G15" s="18"/>
      <c r="H15" s="18"/>
    </row>
    <row r="16" spans="1:8" ht="12">
      <c r="A16" s="16" t="s">
        <v>15</v>
      </c>
      <c r="B16" s="23">
        <f>'[1]Cost Pass Thru 2008_9'!H11+'[1]Cost Pass Thru 2008_9'!F47</f>
        <v>0.8177264031722458</v>
      </c>
      <c r="C16" s="23">
        <v>0.7085909255655899</v>
      </c>
      <c r="D16" s="23">
        <v>-0.9192925200000001</v>
      </c>
      <c r="E16" s="23">
        <v>-0.9435373699999978</v>
      </c>
      <c r="F16" s="23">
        <v>-1.3334627254999918</v>
      </c>
      <c r="G16" s="18"/>
      <c r="H16" s="18"/>
    </row>
    <row r="17" spans="1:8" ht="12">
      <c r="A17" s="16" t="s">
        <v>16</v>
      </c>
      <c r="B17" s="23">
        <f>'[1]Incentives Summary'!D15</f>
        <v>4.627415900858493</v>
      </c>
      <c r="C17" s="23">
        <v>7.810052710684771</v>
      </c>
      <c r="D17" s="23">
        <v>7.580157665844916</v>
      </c>
      <c r="E17" s="23">
        <v>9.228730088344197</v>
      </c>
      <c r="F17" s="23">
        <v>13.0560234922731</v>
      </c>
      <c r="G17" s="18"/>
      <c r="H17" s="18"/>
    </row>
    <row r="18" spans="1:8" ht="12">
      <c r="A18" s="16" t="s">
        <v>17</v>
      </c>
      <c r="B18" s="23">
        <v>3.14224721936655</v>
      </c>
      <c r="C18" s="23">
        <v>-8.05497159362497</v>
      </c>
      <c r="D18" s="23">
        <v>-2.993043388661265</v>
      </c>
      <c r="E18" s="23">
        <v>4.824637988562342</v>
      </c>
      <c r="F18" s="23">
        <v>0.2364969921632678</v>
      </c>
      <c r="G18" s="18"/>
      <c r="H18" s="18"/>
    </row>
    <row r="19" spans="1:8" ht="12">
      <c r="A19" s="16"/>
      <c r="B19" s="24"/>
      <c r="C19" s="23"/>
      <c r="D19" s="23"/>
      <c r="E19" s="23"/>
      <c r="F19" s="23"/>
      <c r="G19" s="18"/>
      <c r="H19" s="18"/>
    </row>
    <row r="20" spans="1:8" s="22" customFormat="1" ht="12">
      <c r="A20" s="19" t="s">
        <v>18</v>
      </c>
      <c r="B20" s="20">
        <f>SUM(B14:B18)</f>
        <v>289.03481438695377</v>
      </c>
      <c r="C20" s="20">
        <f>SUM(C14:C18)</f>
        <v>301.12650974660664</v>
      </c>
      <c r="D20" s="20">
        <f>SUM(D14:D18)</f>
        <v>308.97176870368855</v>
      </c>
      <c r="E20" s="20">
        <f>SUM(E14:E18)</f>
        <v>338.81670560463914</v>
      </c>
      <c r="F20" s="20">
        <f>SUM(F14:F18)</f>
        <v>354.0678193161936</v>
      </c>
      <c r="G20" s="21">
        <f>F20*G12/F12</f>
        <v>364.6898538956794</v>
      </c>
      <c r="H20" s="21">
        <f>G20*H12/G12</f>
        <v>375.6305495125498</v>
      </c>
    </row>
    <row r="21" spans="1:8" s="28" customFormat="1" ht="12">
      <c r="A21" s="16" t="s">
        <v>19</v>
      </c>
      <c r="B21" s="26">
        <v>1.0681654535011744</v>
      </c>
      <c r="C21" s="26">
        <f>+C20/B20</f>
        <v>1.0418347367091383</v>
      </c>
      <c r="D21" s="26">
        <f>+D20/C20</f>
        <v>1.0260530332041624</v>
      </c>
      <c r="E21" s="26">
        <f>+E20/D20</f>
        <v>1.0965943815066568</v>
      </c>
      <c r="F21" s="26">
        <f>+F20/E20</f>
        <v>1.0450128740976272</v>
      </c>
      <c r="G21" s="27">
        <f>+G20/F20</f>
        <v>1.03</v>
      </c>
      <c r="H21" s="27">
        <v>1.03</v>
      </c>
    </row>
    <row r="22" spans="1:8" s="28" customFormat="1" ht="12">
      <c r="A22" s="29"/>
      <c r="B22" s="30"/>
      <c r="C22" s="30"/>
      <c r="D22" s="30"/>
      <c r="E22" s="30"/>
      <c r="F22" s="30"/>
      <c r="G22" s="31"/>
      <c r="H22" s="31"/>
    </row>
    <row r="23" spans="1:8" ht="12">
      <c r="A23" s="32" t="s">
        <v>20</v>
      </c>
      <c r="B23" s="33">
        <v>296.93148734</v>
      </c>
      <c r="C23" s="33">
        <v>304.06086601000004</v>
      </c>
      <c r="D23" s="33">
        <v>304.24173146</v>
      </c>
      <c r="E23" s="33">
        <v>338.5802086124759</v>
      </c>
      <c r="F23" s="33">
        <f>+F20</f>
        <v>354.0678193161936</v>
      </c>
      <c r="G23" s="21">
        <f>+G20</f>
        <v>364.6898538956794</v>
      </c>
      <c r="H23" s="21">
        <f>+H20</f>
        <v>375.6305495125498</v>
      </c>
    </row>
    <row r="24" spans="1:8" s="37" customFormat="1" ht="12">
      <c r="A24" s="34"/>
      <c r="B24" s="35"/>
      <c r="C24" s="35"/>
      <c r="D24" s="35"/>
      <c r="E24" s="35"/>
      <c r="F24" s="35"/>
      <c r="G24" s="36"/>
      <c r="H24" s="36"/>
    </row>
    <row r="25" spans="1:8" s="41" customFormat="1" ht="12">
      <c r="A25" s="38" t="s">
        <v>21</v>
      </c>
      <c r="B25" s="39">
        <f aca="true" t="shared" si="2" ref="B25:G25">B23-B20</f>
        <v>7.89667295304622</v>
      </c>
      <c r="C25" s="39">
        <f t="shared" si="2"/>
        <v>2.934356263393397</v>
      </c>
      <c r="D25" s="39">
        <f t="shared" si="2"/>
        <v>-4.730037243688571</v>
      </c>
      <c r="E25" s="39">
        <f t="shared" si="2"/>
        <v>-0.2364969921632678</v>
      </c>
      <c r="F25" s="39">
        <f t="shared" si="2"/>
        <v>0</v>
      </c>
      <c r="G25" s="40">
        <f t="shared" si="2"/>
        <v>0</v>
      </c>
      <c r="H25" s="40">
        <v>0</v>
      </c>
    </row>
    <row r="26" spans="1:8" s="37" customFormat="1" ht="12">
      <c r="A26" s="34"/>
      <c r="B26" s="42"/>
      <c r="C26" s="42"/>
      <c r="D26" s="42"/>
      <c r="E26" s="42"/>
      <c r="F26" s="42"/>
      <c r="G26" s="43"/>
      <c r="H26" s="43"/>
    </row>
    <row r="27" spans="1:8" s="37" customFormat="1" ht="12">
      <c r="A27" s="44"/>
      <c r="B27" s="45"/>
      <c r="C27" s="45"/>
      <c r="D27" s="45"/>
      <c r="E27" s="45"/>
      <c r="F27" s="45"/>
      <c r="G27" s="46"/>
      <c r="H27" s="46"/>
    </row>
    <row r="28" spans="1:8" s="37" customFormat="1" ht="24">
      <c r="A28" s="47" t="s">
        <v>22</v>
      </c>
      <c r="B28" s="48">
        <v>0.101</v>
      </c>
      <c r="C28" s="48">
        <v>-0.093</v>
      </c>
      <c r="D28" s="48">
        <v>0.038</v>
      </c>
      <c r="E28" s="48">
        <v>0.151</v>
      </c>
      <c r="F28" s="48">
        <f>(F23-E23)/E23</f>
        <v>0.04574281162855617</v>
      </c>
      <c r="G28" s="49">
        <f>(G23-F23)/F23</f>
        <v>0.029999999999999933</v>
      </c>
      <c r="H28" s="49">
        <f>(H23-G23)/G23</f>
        <v>0.03000000000000009</v>
      </c>
    </row>
    <row r="29" spans="1:8" s="37" customFormat="1" ht="12">
      <c r="A29" s="41"/>
      <c r="B29" s="50">
        <v>39722</v>
      </c>
      <c r="C29" s="50">
        <v>39904</v>
      </c>
      <c r="D29" s="50">
        <v>40269</v>
      </c>
      <c r="E29" s="50">
        <v>40634</v>
      </c>
      <c r="F29" s="50">
        <v>41000</v>
      </c>
      <c r="G29" s="50">
        <v>41365</v>
      </c>
      <c r="H29" s="50"/>
    </row>
    <row r="30" spans="1:6" s="37" customFormat="1" ht="12">
      <c r="A30" s="41"/>
      <c r="B30" s="50"/>
      <c r="C30" s="50"/>
      <c r="D30" s="51"/>
      <c r="E30" s="50"/>
      <c r="F30" s="50"/>
    </row>
    <row r="31" spans="1:5" s="37" customFormat="1" ht="12">
      <c r="A31" s="37" t="s">
        <v>23</v>
      </c>
      <c r="C31" s="51">
        <v>-0.093</v>
      </c>
      <c r="D31" s="52">
        <v>0.038</v>
      </c>
      <c r="E31" s="53">
        <v>0.151</v>
      </c>
    </row>
    <row r="32" spans="1:5" ht="12">
      <c r="A32" s="41" t="s">
        <v>24</v>
      </c>
      <c r="C32" s="55">
        <v>-0.066</v>
      </c>
      <c r="D32" s="52">
        <v>0.037</v>
      </c>
      <c r="E32" s="52">
        <v>0.14</v>
      </c>
    </row>
    <row r="33" spans="1:8" ht="12">
      <c r="A33" s="41" t="s">
        <v>25</v>
      </c>
      <c r="B33" s="50"/>
      <c r="C33" s="2"/>
      <c r="D33" s="51"/>
      <c r="E33" s="51"/>
      <c r="F33" s="51">
        <v>0.023018486810617723</v>
      </c>
      <c r="G33" s="56">
        <v>0.030054422873852626</v>
      </c>
      <c r="H33" s="56">
        <v>0.03000000000000001</v>
      </c>
    </row>
    <row r="34" spans="1:8" ht="12">
      <c r="A34" s="41"/>
      <c r="B34" s="50"/>
      <c r="C34" s="51"/>
      <c r="D34" s="51"/>
      <c r="E34" s="51"/>
      <c r="F34" s="51"/>
      <c r="G34" s="53"/>
      <c r="H34" s="53"/>
    </row>
    <row r="35" spans="1:8" ht="12">
      <c r="A35" s="41" t="s">
        <v>27</v>
      </c>
      <c r="B35" s="57">
        <f>-(B23-B20)/B20</f>
        <v>-0.027320836660438833</v>
      </c>
      <c r="C35" s="57">
        <f>-(C23-C20)/C20</f>
        <v>-0.009744596269065162</v>
      </c>
      <c r="D35" s="57">
        <f>-(D23-D20)/D20</f>
        <v>0.015308962574586521</v>
      </c>
      <c r="E35" s="57">
        <f>-(E23-E20)/E20</f>
        <v>0.0006980086526171265</v>
      </c>
      <c r="F35" s="58"/>
      <c r="G35" s="58"/>
      <c r="H35" s="58"/>
    </row>
    <row r="36" spans="1:8" ht="12">
      <c r="A36" s="41"/>
      <c r="B36" s="57"/>
      <c r="C36" s="57"/>
      <c r="D36" s="58"/>
      <c r="E36" s="58"/>
      <c r="F36" s="58"/>
      <c r="G36" s="58"/>
      <c r="H36" s="58"/>
    </row>
    <row r="37" spans="1:3" ht="12">
      <c r="A37" s="1" t="s">
        <v>28</v>
      </c>
      <c r="B37" s="59"/>
      <c r="C37" s="59"/>
    </row>
    <row r="39" ht="12">
      <c r="A39" s="60" t="s">
        <v>4</v>
      </c>
    </row>
    <row r="40" ht="12">
      <c r="A40" s="2" t="s">
        <v>29</v>
      </c>
    </row>
    <row r="41" ht="12">
      <c r="A41" s="2" t="s">
        <v>30</v>
      </c>
    </row>
    <row r="42" ht="12">
      <c r="A42" s="2" t="s">
        <v>31</v>
      </c>
    </row>
    <row r="44" ht="12">
      <c r="A44" s="60" t="s">
        <v>5</v>
      </c>
    </row>
    <row r="45" ht="12">
      <c r="A45" s="2" t="s">
        <v>32</v>
      </c>
    </row>
    <row r="46" ht="12">
      <c r="A46" s="2" t="s">
        <v>33</v>
      </c>
    </row>
    <row r="47" ht="12">
      <c r="A47" s="2" t="s">
        <v>34</v>
      </c>
    </row>
    <row r="48" ht="12">
      <c r="A48" s="2" t="s">
        <v>35</v>
      </c>
    </row>
    <row r="50" ht="12">
      <c r="A50" s="60" t="s">
        <v>36</v>
      </c>
    </row>
    <row r="51" ht="12">
      <c r="A51" s="2" t="str">
        <f>A45</f>
        <v>(i) Shrinkage costs are based on 'day ahead' prices dated 8th April 2011 multiplied by the shrinkage gas quantities given in the licence .</v>
      </c>
    </row>
    <row r="52" ht="12">
      <c r="A52" s="2" t="s">
        <v>37</v>
      </c>
    </row>
    <row r="53" ht="12">
      <c r="A53" s="2" t="s">
        <v>38</v>
      </c>
    </row>
    <row r="54" ht="12">
      <c r="A54" s="2" t="s">
        <v>39</v>
      </c>
    </row>
    <row r="55" ht="12">
      <c r="A55" s="2" t="s">
        <v>40</v>
      </c>
    </row>
    <row r="56" ht="12">
      <c r="A56" s="2" t="s">
        <v>41</v>
      </c>
    </row>
    <row r="57" ht="12">
      <c r="A57" s="2" t="s">
        <v>42</v>
      </c>
    </row>
    <row r="59" ht="12">
      <c r="A59" s="37" t="s">
        <v>43</v>
      </c>
    </row>
    <row r="60" ht="12">
      <c r="A60" s="2" t="s">
        <v>44</v>
      </c>
    </row>
    <row r="61" ht="12">
      <c r="A61" s="2" t="s">
        <v>45</v>
      </c>
    </row>
    <row r="62" ht="12">
      <c r="A62" s="2" t="s">
        <v>46</v>
      </c>
    </row>
    <row r="64" ht="12">
      <c r="A64" s="2" t="s">
        <v>47</v>
      </c>
    </row>
    <row r="65" ht="12">
      <c r="A65" s="61" t="s">
        <v>48</v>
      </c>
    </row>
    <row r="66" ht="12">
      <c r="A66" s="61" t="s">
        <v>49</v>
      </c>
    </row>
    <row r="67" ht="12">
      <c r="A67" s="61"/>
    </row>
    <row r="68" ht="12">
      <c r="A68" s="61"/>
    </row>
    <row r="71" ht="12" hidden="1"/>
    <row r="72" ht="12" hidden="1"/>
    <row r="73" spans="1:5" ht="12" hidden="1">
      <c r="A73" s="62" t="s">
        <v>50</v>
      </c>
      <c r="B73" s="5" t="s">
        <v>51</v>
      </c>
      <c r="C73" s="63">
        <v>0.005</v>
      </c>
      <c r="D73" s="63">
        <v>0.005</v>
      </c>
      <c r="E73" s="63">
        <v>0.005</v>
      </c>
    </row>
    <row r="74" spans="1:5" ht="12" hidden="1">
      <c r="A74" s="5"/>
      <c r="B74" s="64" t="s">
        <v>52</v>
      </c>
      <c r="C74" s="65">
        <f>IF(((C23)&gt;((C20)*1.03)),3%,(IF(((C23)&lt;((C20)*0.97)),0%,1.5%)))</f>
        <v>0.015</v>
      </c>
      <c r="D74" s="65">
        <f>IF(((D23)&gt;((D20)*1.03)),3%,(IF(((D23)&lt;((D20)*0.97)),0%,1.5%)))</f>
        <v>0.015</v>
      </c>
      <c r="E74" s="65">
        <f>IF(((E23)&gt;((E20)*1.03)),3%,(IF(((E23)&lt;((E20)*0.97)),0%,1.5%)))</f>
        <v>0.015</v>
      </c>
    </row>
    <row r="75" spans="1:5" ht="12" hidden="1">
      <c r="A75" s="5"/>
      <c r="B75" s="22" t="s">
        <v>53</v>
      </c>
      <c r="C75" s="66">
        <f>SUM(C73:C74)</f>
        <v>0.02</v>
      </c>
      <c r="D75" s="66">
        <f>SUM(D73:D74)</f>
        <v>0.02</v>
      </c>
      <c r="E75" s="66">
        <f>SUM(E73:E74)</f>
        <v>0.02</v>
      </c>
    </row>
    <row r="76" spans="1:5" ht="12" hidden="1">
      <c r="A76" s="5"/>
      <c r="B76" s="5"/>
      <c r="C76" s="5"/>
      <c r="D76" s="5"/>
      <c r="E76" s="5"/>
    </row>
    <row r="77" spans="1:5" ht="12" hidden="1">
      <c r="A77" s="5"/>
      <c r="B77" s="5" t="s">
        <v>54</v>
      </c>
      <c r="C77" s="67">
        <f>C25*C75</f>
        <v>0.05868712526786794</v>
      </c>
      <c r="D77" s="67">
        <f>D25*D75</f>
        <v>-0.09460074487377142</v>
      </c>
      <c r="E77" s="67">
        <f>E25*E75</f>
        <v>-0.004729939843265356</v>
      </c>
    </row>
    <row r="78" spans="1:5" ht="12" hidden="1">
      <c r="A78" s="5"/>
      <c r="B78" s="5"/>
      <c r="C78" s="67"/>
      <c r="D78" s="67"/>
      <c r="E78" s="67"/>
    </row>
    <row r="79" spans="1:5" ht="12" hidden="1">
      <c r="A79" s="5"/>
      <c r="B79" s="5" t="s">
        <v>26</v>
      </c>
      <c r="C79" s="67">
        <f>C25+C77</f>
        <v>2.993043388661265</v>
      </c>
      <c r="D79" s="67">
        <f>D25+D77</f>
        <v>-4.824637988562342</v>
      </c>
      <c r="E79" s="67">
        <f>E25+E77</f>
        <v>-0.24122693200653317</v>
      </c>
    </row>
    <row r="80" spans="2:4" ht="12.75" hidden="1">
      <c r="B80"/>
      <c r="C80"/>
      <c r="D80"/>
    </row>
    <row r="81" ht="12" hidden="1"/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2" fitToWidth="2" horizontalDpi="600" verticalDpi="600" orientation="landscape" paperSize="9" r:id="rId1"/>
  <headerFooter alignWithMargins="0">
    <oddFooter>&amp;RUncontrolled when printed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dcterms:created xsi:type="dcterms:W3CDTF">2011-04-12T16:39:05Z</dcterms:created>
  <dcterms:modified xsi:type="dcterms:W3CDTF">2011-04-12T16:43:39Z</dcterms:modified>
  <cp:category/>
  <cp:version/>
  <cp:contentType/>
  <cp:contentStatus/>
</cp:coreProperties>
</file>