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C:\Users\BobFletcher\Dropbox\JO Shared Area\Modifications\0651 - 0700\0671\"/>
    </mc:Choice>
  </mc:AlternateContent>
  <xr:revisionPtr revIDLastSave="0" documentId="13_ncr:1_{F859573C-FAB7-4FD0-AE8F-91358336D170}" xr6:coauthVersionLast="40" xr6:coauthVersionMax="40" xr10:uidLastSave="{00000000-0000-0000-0000-000000000000}"/>
  <bookViews>
    <workbookView xWindow="-120" yWindow="-120" windowWidth="20730" windowHeight="11160" activeTab="4" xr2:uid="{00000000-000D-0000-FFFF-FFFF00000000}"/>
  </bookViews>
  <sheets>
    <sheet name="Notes" sheetId="5" r:id="rId1"/>
    <sheet name="One to One" sheetId="1" r:id="rId2"/>
    <sheet name="Many to One" sheetId="2" r:id="rId3"/>
    <sheet name="One to many" sheetId="3" r:id="rId4"/>
    <sheet name="SW LDZ" sheetId="4" r:id="rId5"/>
  </sheet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75" i="1" l="1"/>
  <c r="AF75" i="1" s="1"/>
  <c r="S75" i="1"/>
  <c r="AE75" i="1" s="1"/>
  <c r="AQ75" i="1" s="1"/>
  <c r="BC75" i="1" s="1"/>
  <c r="R75" i="1"/>
  <c r="AD75" i="1" s="1"/>
  <c r="AP75" i="1" s="1"/>
  <c r="BB75" i="1" s="1"/>
  <c r="Q75" i="1"/>
  <c r="AC75" i="1" s="1"/>
  <c r="AO75" i="1" s="1"/>
  <c r="BA75" i="1" s="1"/>
  <c r="P75" i="1"/>
  <c r="AB75" i="1" s="1"/>
  <c r="AN75" i="1" s="1"/>
  <c r="AZ75" i="1" s="1"/>
  <c r="O75" i="1"/>
  <c r="AA75" i="1" s="1"/>
  <c r="AM75" i="1" s="1"/>
  <c r="AY75" i="1" s="1"/>
  <c r="N75" i="1"/>
  <c r="Z75" i="1" s="1"/>
  <c r="AL75" i="1" s="1"/>
  <c r="AX75" i="1" s="1"/>
  <c r="M75" i="1"/>
  <c r="Y75" i="1" s="1"/>
  <c r="AK75" i="1" s="1"/>
  <c r="AW75" i="1" s="1"/>
  <c r="L75" i="1"/>
  <c r="X75" i="1" s="1"/>
  <c r="AJ75" i="1" s="1"/>
  <c r="AV75" i="1" s="1"/>
  <c r="K75" i="1"/>
  <c r="W75" i="1" s="1"/>
  <c r="AI75" i="1" s="1"/>
  <c r="AU75" i="1" s="1"/>
  <c r="J75" i="1"/>
  <c r="V75" i="1" s="1"/>
  <c r="AH75" i="1" s="1"/>
  <c r="AT75" i="1" s="1"/>
  <c r="I75" i="1"/>
  <c r="U75" i="1" s="1"/>
  <c r="AG75" i="1" s="1"/>
  <c r="AS75" i="1" s="1"/>
  <c r="AR75" i="1" l="1"/>
  <c r="BD75" i="1" s="1"/>
  <c r="J75" i="3"/>
  <c r="V75" i="3" s="1"/>
  <c r="AH75" i="3" s="1"/>
  <c r="AT75" i="3" s="1"/>
  <c r="K75" i="3"/>
  <c r="W75" i="3" s="1"/>
  <c r="AI75" i="3" s="1"/>
  <c r="AU75" i="3" s="1"/>
  <c r="L75" i="3"/>
  <c r="X75" i="3" s="1"/>
  <c r="AJ75" i="3" s="1"/>
  <c r="AV75" i="3" s="1"/>
  <c r="M75" i="3"/>
  <c r="Y75" i="3" s="1"/>
  <c r="AK75" i="3" s="1"/>
  <c r="AW75" i="3" s="1"/>
  <c r="N75" i="3"/>
  <c r="Z75" i="3" s="1"/>
  <c r="AL75" i="3" s="1"/>
  <c r="AX75" i="3" s="1"/>
  <c r="O75" i="3"/>
  <c r="AA75" i="3" s="1"/>
  <c r="AM75" i="3" s="1"/>
  <c r="AY75" i="3" s="1"/>
  <c r="P75" i="3"/>
  <c r="AB75" i="3" s="1"/>
  <c r="AN75" i="3" s="1"/>
  <c r="AZ75" i="3" s="1"/>
  <c r="Q75" i="3"/>
  <c r="AC75" i="3" s="1"/>
  <c r="AO75" i="3" s="1"/>
  <c r="BA75" i="3" s="1"/>
  <c r="R75" i="3"/>
  <c r="AD75" i="3" s="1"/>
  <c r="AP75" i="3" s="1"/>
  <c r="BB75" i="3" s="1"/>
  <c r="S75" i="3"/>
  <c r="AE75" i="3" s="1"/>
  <c r="AQ75" i="3" s="1"/>
  <c r="BC75" i="3" s="1"/>
  <c r="T75" i="3"/>
  <c r="AF75" i="3" s="1"/>
  <c r="I75" i="3"/>
  <c r="U75" i="3" s="1"/>
  <c r="AG75" i="3" s="1"/>
  <c r="AS75" i="3" s="1"/>
  <c r="AR75" i="3" l="1"/>
  <c r="BD75" i="3" s="1"/>
  <c r="H67" i="3"/>
  <c r="G67" i="3"/>
  <c r="H59" i="3"/>
  <c r="G59" i="3"/>
  <c r="H42" i="3"/>
  <c r="G42" i="3"/>
  <c r="H34" i="3"/>
  <c r="G34" i="3"/>
  <c r="H19" i="3"/>
  <c r="G19" i="3"/>
  <c r="H11" i="3"/>
  <c r="I10" i="3"/>
  <c r="C61" i="3"/>
  <c r="B61" i="3"/>
  <c r="C63" i="3" s="1"/>
  <c r="H64" i="3" s="1"/>
  <c r="H65" i="3" s="1"/>
  <c r="H66" i="3" s="1"/>
  <c r="C59" i="3"/>
  <c r="C36" i="3"/>
  <c r="B36" i="3"/>
  <c r="C34" i="3"/>
  <c r="C13" i="3"/>
  <c r="B13" i="3"/>
  <c r="G11" i="3"/>
  <c r="C11" i="3"/>
  <c r="H68" i="3" l="1"/>
  <c r="H69" i="3" s="1"/>
  <c r="G64" i="3"/>
  <c r="G65" i="3" s="1"/>
  <c r="C38" i="3"/>
  <c r="C15" i="3"/>
  <c r="G66" i="3" l="1"/>
  <c r="G68" i="3" s="1"/>
  <c r="G69" i="3" s="1"/>
  <c r="G16" i="3"/>
  <c r="G17" i="3" s="1"/>
  <c r="H16" i="3"/>
  <c r="H17" i="3" s="1"/>
  <c r="G39" i="3"/>
  <c r="G40" i="3" s="1"/>
  <c r="H39" i="3"/>
  <c r="H40" i="3" s="1"/>
  <c r="G67" i="1"/>
  <c r="C61" i="1"/>
  <c r="B61" i="1"/>
  <c r="C59" i="1"/>
  <c r="G58" i="1"/>
  <c r="G42" i="1"/>
  <c r="C36" i="1"/>
  <c r="B36" i="1"/>
  <c r="C34" i="1"/>
  <c r="G33" i="1"/>
  <c r="G34" i="1" s="1"/>
  <c r="G19" i="1"/>
  <c r="C13" i="1"/>
  <c r="B13" i="1"/>
  <c r="H41" i="3" l="1"/>
  <c r="H43" i="3" s="1"/>
  <c r="H44" i="3" s="1"/>
  <c r="G41" i="3"/>
  <c r="G43" i="3" s="1"/>
  <c r="G44" i="3" s="1"/>
  <c r="H18" i="3"/>
  <c r="H20" i="3" s="1"/>
  <c r="H21" i="3" s="1"/>
  <c r="G18" i="3"/>
  <c r="G20" i="3" s="1"/>
  <c r="G21" i="3" s="1"/>
  <c r="C63" i="1"/>
  <c r="G64" i="1" s="1"/>
  <c r="G65" i="1" s="1"/>
  <c r="G59" i="1"/>
  <c r="C38" i="1"/>
  <c r="G39" i="1" s="1"/>
  <c r="G40" i="1" s="1"/>
  <c r="C11" i="1"/>
  <c r="G41" i="1" l="1"/>
  <c r="G43" i="1" s="1"/>
  <c r="G44" i="1" s="1"/>
  <c r="G66" i="1"/>
  <c r="G68" i="1" s="1"/>
  <c r="G69" i="1" s="1"/>
  <c r="G10" i="1"/>
  <c r="C15" i="1" l="1"/>
  <c r="G16" i="1" s="1"/>
  <c r="G17" i="1" s="1"/>
  <c r="G18" i="1" s="1"/>
  <c r="G11" i="1"/>
  <c r="G20" i="1" l="1"/>
  <c r="G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 Pomroy</author>
  </authors>
  <commentList>
    <comment ref="G7" authorId="0" shapeId="0" xr:uid="{00000000-0006-0000-0100-000001000000}">
      <text>
        <r>
          <rPr>
            <b/>
            <sz val="9"/>
            <color indexed="81"/>
            <rFont val="Tahoma"/>
            <family val="2"/>
          </rPr>
          <t>Richard Pomroy:</t>
        </r>
        <r>
          <rPr>
            <sz val="9"/>
            <color indexed="81"/>
            <rFont val="Tahoma"/>
            <family val="2"/>
          </rPr>
          <t xml:space="preserve">
If this was for GY 2022 then the number of years of commitment in row 12 would decrease by one and if this was GY 2023 then they would decrease by 2 and so forth.
The same principle will apply to Capacity Exchanges relating to Y+6 for example.  In these cases none of the UC will have been met by actual charges so any capacity with a UC would have it for 4 years and we woudl have to use the published Y+1 price as a proxy for the price in future Gas Years
If required we can produce a calculator to input the prices and the number of years of commitment left automatically.
</t>
        </r>
      </text>
    </comment>
    <comment ref="B8" authorId="0" shapeId="0" xr:uid="{00000000-0006-0000-0100-000002000000}">
      <text>
        <r>
          <rPr>
            <b/>
            <sz val="9"/>
            <color indexed="81"/>
            <rFont val="Tahoma"/>
            <family val="2"/>
          </rPr>
          <t>Richard Pomroy:</t>
        </r>
        <r>
          <rPr>
            <sz val="9"/>
            <color indexed="81"/>
            <rFont val="Tahoma"/>
            <family val="2"/>
          </rPr>
          <t xml:space="preserve">
made up prices
</t>
        </r>
      </text>
    </comment>
    <comment ref="B31" authorId="0" shapeId="0" xr:uid="{00000000-0006-0000-0100-000003000000}">
      <text>
        <r>
          <rPr>
            <b/>
            <sz val="9"/>
            <color indexed="81"/>
            <rFont val="Tahoma"/>
            <family val="2"/>
          </rPr>
          <t>Richard Pomroy:</t>
        </r>
        <r>
          <rPr>
            <sz val="9"/>
            <color indexed="81"/>
            <rFont val="Tahoma"/>
            <family val="2"/>
          </rPr>
          <t xml:space="preserve">
made up prices
</t>
        </r>
      </text>
    </comment>
    <comment ref="B56" authorId="0" shapeId="0" xr:uid="{00000000-0006-0000-0100-000004000000}">
      <text>
        <r>
          <rPr>
            <b/>
            <sz val="9"/>
            <color indexed="81"/>
            <rFont val="Tahoma"/>
            <family val="2"/>
          </rPr>
          <t>Richard Pomroy:</t>
        </r>
        <r>
          <rPr>
            <sz val="9"/>
            <color indexed="81"/>
            <rFont val="Tahoma"/>
            <family val="2"/>
          </rPr>
          <t xml:space="preserve">
made up prices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Richard Pomroy</author>
  </authors>
  <commentList>
    <comment ref="B8" authorId="0" shapeId="0" xr:uid="{00000000-0006-0000-0300-000001000000}">
      <text>
        <r>
          <rPr>
            <b/>
            <sz val="9"/>
            <color indexed="81"/>
            <rFont val="Tahoma"/>
            <family val="2"/>
          </rPr>
          <t>Richard Pomroy:</t>
        </r>
        <r>
          <rPr>
            <sz val="9"/>
            <color indexed="81"/>
            <rFont val="Tahoma"/>
            <family val="2"/>
          </rPr>
          <t xml:space="preserve">
made up prices
</t>
        </r>
      </text>
    </comment>
    <comment ref="B31" authorId="0" shapeId="0" xr:uid="{00000000-0006-0000-0300-000002000000}">
      <text>
        <r>
          <rPr>
            <b/>
            <sz val="9"/>
            <color indexed="81"/>
            <rFont val="Tahoma"/>
            <family val="2"/>
          </rPr>
          <t>Richard Pomroy:</t>
        </r>
        <r>
          <rPr>
            <sz val="9"/>
            <color indexed="81"/>
            <rFont val="Tahoma"/>
            <family val="2"/>
          </rPr>
          <t xml:space="preserve">
made up prices
</t>
        </r>
      </text>
    </comment>
    <comment ref="B56" authorId="0" shapeId="0" xr:uid="{00000000-0006-0000-0300-000003000000}">
      <text>
        <r>
          <rPr>
            <b/>
            <sz val="9"/>
            <color indexed="81"/>
            <rFont val="Tahoma"/>
            <family val="2"/>
          </rPr>
          <t>Richard Pomroy:</t>
        </r>
        <r>
          <rPr>
            <sz val="9"/>
            <color indexed="81"/>
            <rFont val="Tahoma"/>
            <family val="2"/>
          </rPr>
          <t xml:space="preserve">
made up prices</t>
        </r>
      </text>
    </comment>
  </commentList>
</comments>
</file>

<file path=xl/sharedStrings.xml><?xml version="1.0" encoding="utf-8"?>
<sst xmlns="http://schemas.openxmlformats.org/spreadsheetml/2006/main" count="159" uniqueCount="70">
  <si>
    <t xml:space="preserve">Decreasing offtake </t>
  </si>
  <si>
    <t>Increasing offtake</t>
  </si>
  <si>
    <t>After Exchange</t>
  </si>
  <si>
    <t>Evesham</t>
  </si>
  <si>
    <t>Fiddington</t>
  </si>
  <si>
    <t>Ilchester</t>
  </si>
  <si>
    <t>Kenn</t>
  </si>
  <si>
    <t>Littleton Drew</t>
  </si>
  <si>
    <t>Lyneham (Choakford)</t>
  </si>
  <si>
    <t>p</t>
  </si>
  <si>
    <t>capacity</t>
  </si>
  <si>
    <t>Using 0621 model for 2021</t>
  </si>
  <si>
    <t>Capacity moved</t>
  </si>
  <si>
    <t>Aylesbeare</t>
  </si>
  <si>
    <t>Cirencester</t>
  </si>
  <si>
    <t>Coffinswell</t>
  </si>
  <si>
    <t>Easton Grey</t>
  </si>
  <si>
    <t>Pucklechurch</t>
  </si>
  <si>
    <t>Ross (SW)</t>
  </si>
  <si>
    <t>Seabank (DN)</t>
  </si>
  <si>
    <t>Value of UC for decreasing offtakes</t>
  </si>
  <si>
    <t>Value of UC to be transferred to increasing offtakes</t>
  </si>
  <si>
    <t>Output from 0621 model 2021 for SW LDZ</t>
  </si>
  <si>
    <t>1) These examples are for one year, the process can be applied to each of the years T+4,T+5,T+6 and T+7</t>
  </si>
  <si>
    <t>2) Calculation assume that these exchanges are requested in the July 2020  window and so the prices for the increasing offtakes are 2021 prices for which we have used the 0621 prices (noting that 0621 has now been rejected)</t>
  </si>
  <si>
    <t>Price p/kWh at time UC was incurred / current price for increasing offtake</t>
  </si>
  <si>
    <t>Current capacity</t>
  </si>
  <si>
    <t>User Commitment for increasing offtakes</t>
  </si>
  <si>
    <t>Max years remaining at decreasing offtake</t>
  </si>
  <si>
    <t>UC at increasing offtake either value of UC transferred capped at 4 years or the maximum number of years remaining on one of the tranches moved from the decreasing offtakes</t>
  </si>
  <si>
    <t>User Commitment for increasing offtakes uncapped</t>
  </si>
  <si>
    <t>In this case the value of UC transferred is recovered for 3.95 years but since 0.95 &gt;11/12 (=0.916) then UC will be recovered for 4 years and hence a slight over-recovery will occur</t>
  </si>
  <si>
    <t>xxxx</t>
  </si>
  <si>
    <t>In this case there are more years of UC at the decreasing offtake than calculated at the increasing offtake</t>
  </si>
  <si>
    <t>so there is over-recovery of UC</t>
  </si>
  <si>
    <t>In this case the cap of 4 years on UC means that there is a underecovery of the transferred UC</t>
  </si>
  <si>
    <t>Over / Under recovery of UC</t>
  </si>
  <si>
    <t>3) The rule is that the value of UC commitment is preserved subject to:</t>
  </si>
  <si>
    <t>a) there being a maximum of 4 years at the increasing offtake</t>
  </si>
  <si>
    <t>b) the number of years at the increasing offtake is no less than the maximum of the years remaining in any of the tranches from the decreasing offtakes</t>
  </si>
  <si>
    <t>Value of UC left for capacity moving at decreasing point</t>
  </si>
  <si>
    <t>In this case the cap of 4 determines the number of years</t>
  </si>
  <si>
    <t>In this case the 2 years remaining determines the number of years</t>
  </si>
  <si>
    <t>In this case the time required to pay off the UC for the exchanged capacity determines the number of years</t>
  </si>
  <si>
    <t>Conceptually it is no different having more than one offtake than having more than one tranche at one offtake so no examples given</t>
  </si>
  <si>
    <t>Using 0621 model for 2021 using One to One examples but moving to more than one increasing offtake</t>
  </si>
  <si>
    <t>Increasing offtakes</t>
  </si>
  <si>
    <t>In this case there are more years of UC at the decreasing offtakes than calculated at the increasing offtakes</t>
  </si>
  <si>
    <t>UC pro-rated by capacity increase at increasing offtakes</t>
  </si>
  <si>
    <t>In this case the cap of 4 determines the number of years at Evesham but the time required to pay off the UC determines the number of years at Cirencester</t>
  </si>
  <si>
    <t>In this case the cap of 4 years at Evesham means that there is a underecovery of the transferred UC</t>
  </si>
  <si>
    <t>User Commitment for increasing offtakes to nearest 1/12th rounding up capped at 4</t>
  </si>
  <si>
    <t>Example 1 one to one exchange requested in July 2020 Y = 2020, Y+1 is 2021, Y+2 is 2022 we use the price for Y+1 as a proxy for Y+2 (and more generally for Y+n)</t>
  </si>
  <si>
    <t>Example 2 one to one exchange requested in July 2020 Y = 2020, Y+1 is 2021, Y+2 is 2022 we use the price for Y+1 as a proxy for Y+2 (and more generally for Y+n)</t>
  </si>
  <si>
    <t>Example 3 one to one exchange requested in July 2020 Y = 2020, Y+1 is 2021, Y+2 is 2022 we use the price for Y+1 as a proxy for Y+2 (and more generally for Y+n)</t>
  </si>
  <si>
    <t>Gas Year relvant to value of UC</t>
  </si>
  <si>
    <t>User Commitment remaining at decreasing offtakes when exchange comes into effect</t>
  </si>
  <si>
    <t>Example 1 one to omany exchange requested in July 2020 Y = 2020, Y+1 is 2021, Y+2 is 2022 we use the price for Y+1 as a proxy for Y+2 (and more generally for Y+n)</t>
  </si>
  <si>
    <t>Want to move 1,500,000 from Xxxx where a UC was for 1,000,000 agreed from GY2020 and 500,000 agreed from GY2019 to Evesham to take effect in GY2021</t>
  </si>
  <si>
    <t>Want to move 1,500,000 from Yyyy where a UC was for 1,000,000 agreed from GY2020 and 500,000 agreed from GY2019 to Evesham to take effect in GY2021</t>
  </si>
  <si>
    <t>Zzzz</t>
  </si>
  <si>
    <t>Yyyy</t>
  </si>
  <si>
    <t>Aaaa</t>
  </si>
  <si>
    <t>Want to move 1,500,000 from Aaaa where a UC was for 1,000,000 agreed from GY2019 and 500,000 agreed from GY2018 to Evesham and Cirencester equally</t>
  </si>
  <si>
    <t>Cccc</t>
  </si>
  <si>
    <t>Want to move 1,500,000 from Bbbb where a UC was for 1,000,000 agreed from GY2020 and 500,000 agreed from GY2019 to Evesham and Cirencester equally</t>
  </si>
  <si>
    <t>Want to move 1,500,000 from Zzzz where a UC was for 1,000,000 agreed from GY2020 and 500,000 agreed from GY2019 to Evesham to take effect in GY2021</t>
  </si>
  <si>
    <t>Want to move 1,500,000 from Cccc where a UC was for 1,000,000 agreed from GY2020 and 500,000 agreed from GY2019 to Evesham and Cirencester equally</t>
  </si>
  <si>
    <t>Example 3 one to one exchange</t>
  </si>
  <si>
    <t>Example 2 one to one exchange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</si>
</sst>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 numFmtId="165" formatCode="0.0000"/>
    <numFmt numFmtId="166" formatCode="_-&quot;£&quot;* #,##0_-;\-&quot;£&quot;* #,##0_-;_-&quot;£&quot;* &quot;-&quot;??_-;_-@_-"/>
    <numFmt numFmtId="167" formatCode="0.000"/>
  </numFmts>
  <fonts count="6" x14ac:knownFonts="1">
    <font>
      <sz val="11"/>
      <color theme="1"/>
      <name val="Calibri"/>
      <family val="2"/>
      <scheme val="minor"/>
    </font>
    <font>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
      <sz val="1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9">
    <xf numFmtId="0" fontId="0" fillId="0" borderId="0" xfId="0"/>
    <xf numFmtId="164" fontId="0" fillId="0" borderId="0" xfId="1" applyNumberFormat="1" applyFont="1"/>
    <xf numFmtId="164" fontId="0" fillId="0" borderId="0" xfId="0" applyNumberFormat="1"/>
    <xf numFmtId="43" fontId="0" fillId="0" borderId="0" xfId="0" applyNumberFormat="1"/>
    <xf numFmtId="44" fontId="0" fillId="0" borderId="0" xfId="2" applyFont="1"/>
    <xf numFmtId="6" fontId="0" fillId="0" borderId="0" xfId="2" applyNumberFormat="1" applyFont="1"/>
    <xf numFmtId="165" fontId="0" fillId="0" borderId="0" xfId="0" applyNumberFormat="1"/>
    <xf numFmtId="43" fontId="0" fillId="0" borderId="0" xfId="1" applyFont="1"/>
    <xf numFmtId="0" fontId="0" fillId="0" borderId="0" xfId="0" applyAlignment="1">
      <alignment wrapText="1"/>
    </xf>
    <xf numFmtId="165" fontId="0" fillId="0" borderId="0" xfId="0" applyNumberFormat="1" applyAlignment="1">
      <alignment wrapText="1"/>
    </xf>
    <xf numFmtId="164" fontId="0" fillId="0" borderId="0" xfId="1" applyNumberFormat="1" applyFont="1" applyAlignment="1">
      <alignment wrapText="1"/>
    </xf>
    <xf numFmtId="164" fontId="0" fillId="0" borderId="0" xfId="0" applyNumberFormat="1" applyAlignment="1">
      <alignment wrapText="1"/>
    </xf>
    <xf numFmtId="44" fontId="0" fillId="0" borderId="0" xfId="2" applyFont="1" applyAlignment="1">
      <alignment wrapText="1"/>
    </xf>
    <xf numFmtId="43" fontId="0" fillId="0" borderId="0" xfId="0" applyNumberFormat="1" applyAlignment="1">
      <alignment wrapText="1"/>
    </xf>
    <xf numFmtId="6" fontId="0" fillId="0" borderId="0" xfId="2" applyNumberFormat="1" applyFont="1" applyAlignment="1">
      <alignment wrapText="1"/>
    </xf>
    <xf numFmtId="3" fontId="0" fillId="0" borderId="0" xfId="0" applyNumberFormat="1" applyAlignment="1">
      <alignment wrapText="1"/>
    </xf>
    <xf numFmtId="0" fontId="2" fillId="0" borderId="0" xfId="0" applyFont="1"/>
    <xf numFmtId="166" fontId="0" fillId="0" borderId="0" xfId="0" applyNumberFormat="1"/>
    <xf numFmtId="166" fontId="0" fillId="0" borderId="0" xfId="2" applyNumberFormat="1" applyFont="1"/>
    <xf numFmtId="166" fontId="2" fillId="0" borderId="0" xfId="0" applyNumberFormat="1" applyFont="1"/>
    <xf numFmtId="166" fontId="0" fillId="0" borderId="0" xfId="2" applyNumberFormat="1" applyFont="1" applyAlignment="1">
      <alignment wrapText="1"/>
    </xf>
    <xf numFmtId="166" fontId="0" fillId="0" borderId="0" xfId="0" applyNumberFormat="1" applyAlignment="1">
      <alignment wrapText="1"/>
    </xf>
    <xf numFmtId="6" fontId="0" fillId="0" borderId="0" xfId="0" applyNumberFormat="1"/>
    <xf numFmtId="8" fontId="0" fillId="0" borderId="0" xfId="0" applyNumberFormat="1"/>
    <xf numFmtId="0" fontId="0" fillId="2" borderId="0" xfId="0" applyFill="1"/>
    <xf numFmtId="0" fontId="0" fillId="0" borderId="0" xfId="0" applyFill="1"/>
    <xf numFmtId="0" fontId="5" fillId="0" borderId="0" xfId="0" applyFont="1"/>
    <xf numFmtId="167" fontId="0" fillId="0" borderId="0" xfId="0" applyNumberFormat="1"/>
    <xf numFmtId="43" fontId="0" fillId="0" borderId="0" xfId="0" applyNumberFormat="1" applyFill="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election activeCell="A5" sqref="A5"/>
    </sheetView>
  </sheetViews>
  <sheetFormatPr defaultRowHeight="15" x14ac:dyDescent="0.25"/>
  <sheetData>
    <row r="1" spans="1:1" x14ac:dyDescent="0.25">
      <c r="A1" t="s">
        <v>23</v>
      </c>
    </row>
    <row r="2" spans="1:1" x14ac:dyDescent="0.25">
      <c r="A2" t="s">
        <v>24</v>
      </c>
    </row>
    <row r="3" spans="1:1" x14ac:dyDescent="0.25">
      <c r="A3" t="s">
        <v>37</v>
      </c>
    </row>
    <row r="4" spans="1:1" x14ac:dyDescent="0.25">
      <c r="A4" t="s">
        <v>38</v>
      </c>
    </row>
    <row r="5" spans="1:1" x14ac:dyDescent="0.25">
      <c r="A5" t="s">
        <v>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D75"/>
  <sheetViews>
    <sheetView workbookViewId="0">
      <selection activeCell="A35" sqref="A35"/>
    </sheetView>
  </sheetViews>
  <sheetFormatPr defaultRowHeight="15" x14ac:dyDescent="0.25"/>
  <cols>
    <col min="1" max="1" width="66.85546875" customWidth="1"/>
    <col min="2" max="2" width="14.28515625" bestFit="1" customWidth="1"/>
    <col min="3" max="3" width="12.28515625" customWidth="1"/>
    <col min="7" max="7" width="13.28515625" bestFit="1" customWidth="1"/>
    <col min="9" max="9" width="18" customWidth="1"/>
  </cols>
  <sheetData>
    <row r="1" spans="1:7" x14ac:dyDescent="0.25">
      <c r="A1" t="s">
        <v>11</v>
      </c>
    </row>
    <row r="2" spans="1:7" x14ac:dyDescent="0.25">
      <c r="A2" t="s">
        <v>52</v>
      </c>
    </row>
    <row r="3" spans="1:7" x14ac:dyDescent="0.25">
      <c r="A3" s="26" t="s">
        <v>58</v>
      </c>
    </row>
    <row r="4" spans="1:7" x14ac:dyDescent="0.25">
      <c r="B4" t="s">
        <v>0</v>
      </c>
      <c r="G4" t="s">
        <v>1</v>
      </c>
    </row>
    <row r="5" spans="1:7" x14ac:dyDescent="0.25">
      <c r="B5" s="24" t="s">
        <v>32</v>
      </c>
      <c r="G5" t="s">
        <v>3</v>
      </c>
    </row>
    <row r="6" spans="1:7" x14ac:dyDescent="0.25">
      <c r="A6" t="s">
        <v>26</v>
      </c>
      <c r="B6" s="1">
        <v>40420636</v>
      </c>
      <c r="G6" s="1">
        <v>5584329</v>
      </c>
    </row>
    <row r="7" spans="1:7" x14ac:dyDescent="0.25">
      <c r="A7" t="s">
        <v>55</v>
      </c>
      <c r="B7">
        <v>2020</v>
      </c>
      <c r="C7">
        <v>2019</v>
      </c>
      <c r="G7">
        <v>2021</v>
      </c>
    </row>
    <row r="8" spans="1:7" ht="30" x14ac:dyDescent="0.25">
      <c r="A8" s="8" t="s">
        <v>25</v>
      </c>
      <c r="B8" s="25">
        <v>2.1999999999999999E-2</v>
      </c>
      <c r="C8" s="25">
        <v>2.1000000000000001E-2</v>
      </c>
      <c r="G8">
        <v>2.1594166228033309E-2</v>
      </c>
    </row>
    <row r="9" spans="1:7" x14ac:dyDescent="0.25">
      <c r="B9" s="25"/>
      <c r="C9" s="25"/>
    </row>
    <row r="10" spans="1:7" x14ac:dyDescent="0.25">
      <c r="A10" t="s">
        <v>12</v>
      </c>
      <c r="B10" s="1">
        <v>-1000000</v>
      </c>
      <c r="C10" s="1">
        <v>-500000</v>
      </c>
      <c r="G10" s="2">
        <f>-B10-C10</f>
        <v>1500000</v>
      </c>
    </row>
    <row r="11" spans="1:7" x14ac:dyDescent="0.25">
      <c r="A11" t="s">
        <v>2</v>
      </c>
      <c r="C11" s="2">
        <f>+B6+B10+C10</f>
        <v>38920636</v>
      </c>
      <c r="D11" s="16"/>
      <c r="G11" s="2">
        <f>+G6+G10</f>
        <v>7084329</v>
      </c>
    </row>
    <row r="12" spans="1:7" ht="30" x14ac:dyDescent="0.25">
      <c r="A12" s="8" t="s">
        <v>56</v>
      </c>
      <c r="B12" s="2">
        <v>3</v>
      </c>
      <c r="C12" s="2">
        <v>2</v>
      </c>
    </row>
    <row r="13" spans="1:7" x14ac:dyDescent="0.25">
      <c r="A13" s="26" t="s">
        <v>40</v>
      </c>
      <c r="B13" s="18">
        <f>-+B12*B10*B8*365/100</f>
        <v>240900</v>
      </c>
      <c r="C13" s="18">
        <f>-+C12*C10*C8*365/100</f>
        <v>76650</v>
      </c>
      <c r="D13" s="19"/>
      <c r="E13" s="17"/>
      <c r="F13" s="17"/>
      <c r="G13" s="17"/>
    </row>
    <row r="14" spans="1:7" x14ac:dyDescent="0.25">
      <c r="B14" s="17"/>
      <c r="C14" s="17"/>
      <c r="D14" s="17"/>
      <c r="E14" s="17"/>
      <c r="F14" s="17"/>
      <c r="G14" s="17"/>
    </row>
    <row r="15" spans="1:7" x14ac:dyDescent="0.25">
      <c r="A15" t="s">
        <v>20</v>
      </c>
      <c r="B15" s="18"/>
      <c r="C15" s="18">
        <f>+B13+C13</f>
        <v>317550</v>
      </c>
      <c r="D15" s="17"/>
      <c r="E15" s="17"/>
      <c r="F15" s="17"/>
      <c r="G15" s="17"/>
    </row>
    <row r="16" spans="1:7" x14ac:dyDescent="0.25">
      <c r="A16" t="s">
        <v>21</v>
      </c>
      <c r="B16" s="17"/>
      <c r="C16" s="17"/>
      <c r="D16" s="17"/>
      <c r="E16" s="17"/>
      <c r="F16" s="17"/>
      <c r="G16" s="17">
        <f>+C15</f>
        <v>317550</v>
      </c>
    </row>
    <row r="17" spans="1:9" x14ac:dyDescent="0.25">
      <c r="A17" t="s">
        <v>30</v>
      </c>
      <c r="G17" s="3">
        <f>+G16/(G10*G8*365/100)</f>
        <v>2.6859106013875653</v>
      </c>
    </row>
    <row r="18" spans="1:9" x14ac:dyDescent="0.25">
      <c r="A18" t="s">
        <v>51</v>
      </c>
      <c r="G18" s="3">
        <f>MIN(4,HLOOKUP(G17+1/12,$I$75:$BD$75,1))</f>
        <v>2.75</v>
      </c>
      <c r="H18" s="3"/>
    </row>
    <row r="19" spans="1:9" x14ac:dyDescent="0.25">
      <c r="A19" t="s">
        <v>28</v>
      </c>
      <c r="G19" s="3">
        <f>MAX(B12:C12)</f>
        <v>3</v>
      </c>
      <c r="I19" t="s">
        <v>42</v>
      </c>
    </row>
    <row r="20" spans="1:9" ht="60" x14ac:dyDescent="0.25">
      <c r="A20" s="8" t="s">
        <v>29</v>
      </c>
      <c r="G20" s="5">
        <f>MAX(G10*G8*G18*365/100,G10*G8*G19*365/100)</f>
        <v>354684.18029544712</v>
      </c>
      <c r="I20" t="s">
        <v>33</v>
      </c>
    </row>
    <row r="21" spans="1:9" x14ac:dyDescent="0.25">
      <c r="A21" s="22" t="s">
        <v>36</v>
      </c>
      <c r="B21" s="22"/>
      <c r="C21" s="22"/>
      <c r="D21" s="22"/>
      <c r="E21" s="22"/>
      <c r="F21" s="22"/>
      <c r="G21" s="22">
        <f>+G20-G16</f>
        <v>37134.18029544712</v>
      </c>
      <c r="I21" t="s">
        <v>34</v>
      </c>
    </row>
    <row r="25" spans="1:9" x14ac:dyDescent="0.25">
      <c r="A25" t="s">
        <v>53</v>
      </c>
    </row>
    <row r="26" spans="1:9" x14ac:dyDescent="0.25">
      <c r="A26" s="26" t="s">
        <v>59</v>
      </c>
    </row>
    <row r="27" spans="1:9" x14ac:dyDescent="0.25">
      <c r="B27" t="s">
        <v>0</v>
      </c>
      <c r="G27" t="s">
        <v>1</v>
      </c>
    </row>
    <row r="28" spans="1:9" x14ac:dyDescent="0.25">
      <c r="B28" t="s">
        <v>61</v>
      </c>
      <c r="G28" t="s">
        <v>3</v>
      </c>
    </row>
    <row r="29" spans="1:9" x14ac:dyDescent="0.25">
      <c r="A29" t="s">
        <v>26</v>
      </c>
      <c r="B29" s="1">
        <v>40420636</v>
      </c>
      <c r="G29" s="1">
        <v>5584329</v>
      </c>
    </row>
    <row r="30" spans="1:9" x14ac:dyDescent="0.25">
      <c r="A30" t="s">
        <v>55</v>
      </c>
      <c r="B30" s="25">
        <v>2020</v>
      </c>
      <c r="C30" s="25">
        <v>2019</v>
      </c>
      <c r="G30">
        <v>2021</v>
      </c>
    </row>
    <row r="31" spans="1:9" ht="30" x14ac:dyDescent="0.25">
      <c r="A31" s="8" t="s">
        <v>25</v>
      </c>
      <c r="B31" s="25">
        <v>3.5000000000000003E-2</v>
      </c>
      <c r="C31" s="25">
        <v>3.5000000000000003E-2</v>
      </c>
      <c r="G31">
        <v>2.1594166228033309E-2</v>
      </c>
    </row>
    <row r="32" spans="1:9" x14ac:dyDescent="0.25">
      <c r="B32" s="25"/>
      <c r="C32" s="25"/>
    </row>
    <row r="33" spans="1:9" x14ac:dyDescent="0.25">
      <c r="A33" t="s">
        <v>12</v>
      </c>
      <c r="B33" s="1">
        <v>-1000000</v>
      </c>
      <c r="C33" s="1">
        <v>-500000</v>
      </c>
      <c r="G33" s="2">
        <f>-B33-C33</f>
        <v>1500000</v>
      </c>
    </row>
    <row r="34" spans="1:9" x14ac:dyDescent="0.25">
      <c r="A34" t="s">
        <v>2</v>
      </c>
      <c r="C34" s="2">
        <f>+B29+B33+C33</f>
        <v>38920636</v>
      </c>
      <c r="D34" s="16"/>
      <c r="G34" s="2">
        <f>+G29+G33</f>
        <v>7084329</v>
      </c>
    </row>
    <row r="35" spans="1:9" ht="30" x14ac:dyDescent="0.25">
      <c r="A35" s="8" t="s">
        <v>56</v>
      </c>
      <c r="B35" s="2">
        <v>3</v>
      </c>
      <c r="C35" s="2">
        <v>2</v>
      </c>
    </row>
    <row r="36" spans="1:9" x14ac:dyDescent="0.25">
      <c r="A36" s="26" t="s">
        <v>40</v>
      </c>
      <c r="B36" s="18">
        <f>-+B35*B33*B31*365/100</f>
        <v>383250.00000000006</v>
      </c>
      <c r="C36" s="18">
        <f>-+C35*C33*C31*365/100</f>
        <v>127750</v>
      </c>
      <c r="D36" s="19"/>
      <c r="E36" s="17"/>
      <c r="F36" s="17"/>
      <c r="G36" s="17"/>
    </row>
    <row r="37" spans="1:9" x14ac:dyDescent="0.25">
      <c r="B37" s="17"/>
      <c r="C37" s="17"/>
      <c r="D37" s="17"/>
      <c r="E37" s="17"/>
      <c r="F37" s="17"/>
      <c r="G37" s="17"/>
    </row>
    <row r="38" spans="1:9" x14ac:dyDescent="0.25">
      <c r="A38" t="s">
        <v>20</v>
      </c>
      <c r="B38" s="18"/>
      <c r="C38" s="18">
        <f>+B36+C36</f>
        <v>511000.00000000006</v>
      </c>
      <c r="D38" s="17"/>
      <c r="E38" s="17"/>
      <c r="F38" s="17"/>
      <c r="G38" s="17"/>
    </row>
    <row r="39" spans="1:9" x14ac:dyDescent="0.25">
      <c r="A39" t="s">
        <v>21</v>
      </c>
      <c r="B39" s="17"/>
      <c r="C39" s="17"/>
      <c r="D39" s="17"/>
      <c r="E39" s="17"/>
      <c r="F39" s="17"/>
      <c r="G39" s="17">
        <f>+C38</f>
        <v>511000.00000000006</v>
      </c>
    </row>
    <row r="40" spans="1:9" x14ac:dyDescent="0.25">
      <c r="A40" t="s">
        <v>30</v>
      </c>
      <c r="G40" s="3">
        <f>+G39/(G33*G31*365/100)</f>
        <v>4.3221549907386114</v>
      </c>
    </row>
    <row r="41" spans="1:9" x14ac:dyDescent="0.25">
      <c r="A41" t="s">
        <v>51</v>
      </c>
      <c r="G41" s="3">
        <f>MIN(4,HLOOKUP(G40+1/12,$I$75:$BD$75,1))</f>
        <v>4</v>
      </c>
      <c r="I41" t="s">
        <v>41</v>
      </c>
    </row>
    <row r="42" spans="1:9" x14ac:dyDescent="0.25">
      <c r="A42" t="s">
        <v>28</v>
      </c>
      <c r="G42" s="2">
        <f>MAX(B35:C35)</f>
        <v>3</v>
      </c>
    </row>
    <row r="43" spans="1:9" ht="45" x14ac:dyDescent="0.25">
      <c r="A43" s="8" t="s">
        <v>29</v>
      </c>
      <c r="G43" s="5">
        <f>MAX(G33*G31*G41*365/100,G33*G31*G42*365/100)</f>
        <v>472912.24039392947</v>
      </c>
      <c r="I43" t="s">
        <v>35</v>
      </c>
    </row>
    <row r="44" spans="1:9" x14ac:dyDescent="0.25">
      <c r="A44" s="22" t="s">
        <v>36</v>
      </c>
      <c r="B44" s="22"/>
      <c r="C44" s="22"/>
      <c r="D44" s="22"/>
      <c r="E44" s="22"/>
      <c r="F44" s="22"/>
      <c r="G44" s="22">
        <f>+G43-G39</f>
        <v>-38087.759606070584</v>
      </c>
    </row>
    <row r="50" spans="1:7" x14ac:dyDescent="0.25">
      <c r="A50" t="s">
        <v>54</v>
      </c>
    </row>
    <row r="51" spans="1:7" x14ac:dyDescent="0.25">
      <c r="A51" s="26" t="s">
        <v>66</v>
      </c>
    </row>
    <row r="52" spans="1:7" x14ac:dyDescent="0.25">
      <c r="B52" t="s">
        <v>0</v>
      </c>
      <c r="G52" t="s">
        <v>1</v>
      </c>
    </row>
    <row r="53" spans="1:7" x14ac:dyDescent="0.25">
      <c r="B53" t="s">
        <v>60</v>
      </c>
      <c r="G53" t="s">
        <v>3</v>
      </c>
    </row>
    <row r="54" spans="1:7" x14ac:dyDescent="0.25">
      <c r="A54" t="s">
        <v>26</v>
      </c>
      <c r="B54" s="1">
        <v>40420636</v>
      </c>
      <c r="G54" s="1">
        <v>5584329</v>
      </c>
    </row>
    <row r="55" spans="1:7" x14ac:dyDescent="0.25">
      <c r="A55" t="s">
        <v>55</v>
      </c>
      <c r="B55" s="25">
        <v>2020</v>
      </c>
      <c r="C55" s="25">
        <v>2021</v>
      </c>
      <c r="G55">
        <v>2021</v>
      </c>
    </row>
    <row r="56" spans="1:7" ht="30" x14ac:dyDescent="0.25">
      <c r="A56" s="8" t="s">
        <v>25</v>
      </c>
      <c r="B56" s="25">
        <v>3.5000000000000003E-2</v>
      </c>
      <c r="C56" s="25">
        <v>2.3E-2</v>
      </c>
      <c r="G56">
        <v>2.1594166228033309E-2</v>
      </c>
    </row>
    <row r="58" spans="1:7" x14ac:dyDescent="0.25">
      <c r="A58" t="s">
        <v>12</v>
      </c>
      <c r="B58" s="1">
        <v>-1000000</v>
      </c>
      <c r="C58" s="1">
        <v>-500000</v>
      </c>
      <c r="G58" s="2">
        <f>-B58-C58</f>
        <v>1500000</v>
      </c>
    </row>
    <row r="59" spans="1:7" x14ac:dyDescent="0.25">
      <c r="A59" t="s">
        <v>2</v>
      </c>
      <c r="C59" s="2">
        <f>+B54+B58+C58</f>
        <v>38920636</v>
      </c>
      <c r="D59" s="16"/>
      <c r="G59" s="2">
        <f>+G54+G58</f>
        <v>7084329</v>
      </c>
    </row>
    <row r="60" spans="1:7" ht="30" x14ac:dyDescent="0.25">
      <c r="A60" s="8" t="s">
        <v>56</v>
      </c>
      <c r="B60" s="2">
        <v>3</v>
      </c>
      <c r="C60" s="2">
        <v>2</v>
      </c>
    </row>
    <row r="61" spans="1:7" x14ac:dyDescent="0.25">
      <c r="A61" s="26" t="s">
        <v>40</v>
      </c>
      <c r="B61" s="18">
        <f>-+B60*B58*B56*365/100</f>
        <v>383250.00000000006</v>
      </c>
      <c r="C61" s="18">
        <f>-+C60*C58*C56*365/100</f>
        <v>83950</v>
      </c>
      <c r="D61" s="19"/>
      <c r="E61" s="17"/>
      <c r="F61" s="17"/>
      <c r="G61" s="17"/>
    </row>
    <row r="62" spans="1:7" x14ac:dyDescent="0.25">
      <c r="B62" s="17"/>
      <c r="C62" s="17"/>
      <c r="D62" s="17"/>
      <c r="E62" s="17"/>
      <c r="F62" s="17"/>
      <c r="G62" s="17"/>
    </row>
    <row r="63" spans="1:7" x14ac:dyDescent="0.25">
      <c r="A63" t="s">
        <v>20</v>
      </c>
      <c r="B63" s="18"/>
      <c r="C63" s="18">
        <f>+B61+C61</f>
        <v>467200.00000000006</v>
      </c>
      <c r="D63" s="17"/>
      <c r="E63" s="17"/>
      <c r="F63" s="17"/>
      <c r="G63" s="17"/>
    </row>
    <row r="64" spans="1:7" x14ac:dyDescent="0.25">
      <c r="A64" t="s">
        <v>21</v>
      </c>
      <c r="B64" s="17"/>
      <c r="C64" s="17"/>
      <c r="D64" s="17"/>
      <c r="E64" s="17"/>
      <c r="F64" s="17"/>
      <c r="G64" s="17">
        <f>+C63</f>
        <v>467200.00000000006</v>
      </c>
    </row>
    <row r="65" spans="1:56" x14ac:dyDescent="0.25">
      <c r="A65" t="s">
        <v>30</v>
      </c>
      <c r="G65" s="3">
        <f>+G64/(G58*G56*365/100)</f>
        <v>3.9516845629610162</v>
      </c>
    </row>
    <row r="66" spans="1:56" x14ac:dyDescent="0.25">
      <c r="A66" t="s">
        <v>51</v>
      </c>
      <c r="G66" s="3">
        <f>MIN(4,HLOOKUP(G65+1/12,$I$75:$BD$75,1))</f>
        <v>4</v>
      </c>
      <c r="I66" t="s">
        <v>43</v>
      </c>
    </row>
    <row r="67" spans="1:56" x14ac:dyDescent="0.25">
      <c r="A67" t="s">
        <v>28</v>
      </c>
      <c r="G67" s="2">
        <f>MAX(B60:C60)</f>
        <v>3</v>
      </c>
    </row>
    <row r="68" spans="1:56" ht="45" x14ac:dyDescent="0.25">
      <c r="A68" s="8" t="s">
        <v>29</v>
      </c>
      <c r="G68" s="5">
        <f>MAX(G58*G56*G66*365/100,G58*G56*G67*365/100)</f>
        <v>472912.24039392947</v>
      </c>
      <c r="I68" t="s">
        <v>31</v>
      </c>
    </row>
    <row r="69" spans="1:56" x14ac:dyDescent="0.25">
      <c r="A69" s="22" t="s">
        <v>36</v>
      </c>
      <c r="B69" s="22"/>
      <c r="C69" s="22"/>
      <c r="D69" s="22"/>
      <c r="E69" s="22"/>
      <c r="F69" s="22"/>
      <c r="G69" s="22">
        <f>+G68-G64</f>
        <v>5712.2403939294163</v>
      </c>
      <c r="I69" s="4"/>
      <c r="L69" s="23"/>
    </row>
    <row r="74" spans="1:56" x14ac:dyDescent="0.25">
      <c r="I74">
        <v>1</v>
      </c>
      <c r="J74">
        <v>2</v>
      </c>
      <c r="K74">
        <v>3</v>
      </c>
      <c r="L74">
        <v>4</v>
      </c>
      <c r="M74">
        <v>5</v>
      </c>
      <c r="N74">
        <v>6</v>
      </c>
      <c r="O74">
        <v>7</v>
      </c>
      <c r="P74">
        <v>8</v>
      </c>
      <c r="Q74">
        <v>9</v>
      </c>
      <c r="R74">
        <v>10</v>
      </c>
      <c r="S74">
        <v>11</v>
      </c>
      <c r="T74">
        <v>12</v>
      </c>
    </row>
    <row r="75" spans="1:56" x14ac:dyDescent="0.25">
      <c r="I75" s="27">
        <f>+I74/12</f>
        <v>8.3333333333333329E-2</v>
      </c>
      <c r="J75" s="27">
        <f t="shared" ref="J75:T75" si="0">+J74/12</f>
        <v>0.16666666666666666</v>
      </c>
      <c r="K75" s="27">
        <f t="shared" si="0"/>
        <v>0.25</v>
      </c>
      <c r="L75" s="27">
        <f t="shared" si="0"/>
        <v>0.33333333333333331</v>
      </c>
      <c r="M75" s="27">
        <f t="shared" si="0"/>
        <v>0.41666666666666669</v>
      </c>
      <c r="N75" s="27">
        <f t="shared" si="0"/>
        <v>0.5</v>
      </c>
      <c r="O75" s="27">
        <f t="shared" si="0"/>
        <v>0.58333333333333337</v>
      </c>
      <c r="P75" s="27">
        <f t="shared" si="0"/>
        <v>0.66666666666666663</v>
      </c>
      <c r="Q75" s="27">
        <f t="shared" si="0"/>
        <v>0.75</v>
      </c>
      <c r="R75" s="27">
        <f t="shared" si="0"/>
        <v>0.83333333333333337</v>
      </c>
      <c r="S75" s="27">
        <f t="shared" si="0"/>
        <v>0.91666666666666663</v>
      </c>
      <c r="T75" s="27">
        <f t="shared" si="0"/>
        <v>1</v>
      </c>
      <c r="U75" s="27">
        <f>+I75+1</f>
        <v>1.0833333333333333</v>
      </c>
      <c r="V75" s="27">
        <f t="shared" ref="V75:BD75" si="1">+J75+1</f>
        <v>1.1666666666666667</v>
      </c>
      <c r="W75" s="27">
        <f t="shared" si="1"/>
        <v>1.25</v>
      </c>
      <c r="X75" s="27">
        <f t="shared" si="1"/>
        <v>1.3333333333333333</v>
      </c>
      <c r="Y75" s="27">
        <f t="shared" si="1"/>
        <v>1.4166666666666667</v>
      </c>
      <c r="Z75" s="27">
        <f t="shared" si="1"/>
        <v>1.5</v>
      </c>
      <c r="AA75" s="27">
        <f t="shared" si="1"/>
        <v>1.5833333333333335</v>
      </c>
      <c r="AB75" s="27">
        <f t="shared" si="1"/>
        <v>1.6666666666666665</v>
      </c>
      <c r="AC75" s="27">
        <f t="shared" si="1"/>
        <v>1.75</v>
      </c>
      <c r="AD75" s="27">
        <f t="shared" si="1"/>
        <v>1.8333333333333335</v>
      </c>
      <c r="AE75" s="27">
        <f t="shared" si="1"/>
        <v>1.9166666666666665</v>
      </c>
      <c r="AF75" s="27">
        <f t="shared" si="1"/>
        <v>2</v>
      </c>
      <c r="AG75" s="27">
        <f t="shared" si="1"/>
        <v>2.083333333333333</v>
      </c>
      <c r="AH75" s="27">
        <f t="shared" si="1"/>
        <v>2.166666666666667</v>
      </c>
      <c r="AI75" s="27">
        <f t="shared" si="1"/>
        <v>2.25</v>
      </c>
      <c r="AJ75" s="27">
        <f t="shared" si="1"/>
        <v>2.333333333333333</v>
      </c>
      <c r="AK75" s="27">
        <f t="shared" si="1"/>
        <v>2.416666666666667</v>
      </c>
      <c r="AL75" s="27">
        <f t="shared" si="1"/>
        <v>2.5</v>
      </c>
      <c r="AM75" s="27">
        <f t="shared" si="1"/>
        <v>2.5833333333333335</v>
      </c>
      <c r="AN75" s="27">
        <f t="shared" si="1"/>
        <v>2.6666666666666665</v>
      </c>
      <c r="AO75" s="27">
        <f t="shared" si="1"/>
        <v>2.75</v>
      </c>
      <c r="AP75" s="27">
        <f t="shared" si="1"/>
        <v>2.8333333333333335</v>
      </c>
      <c r="AQ75" s="27">
        <f t="shared" si="1"/>
        <v>2.9166666666666665</v>
      </c>
      <c r="AR75" s="27">
        <f t="shared" si="1"/>
        <v>3</v>
      </c>
      <c r="AS75" s="27">
        <f t="shared" si="1"/>
        <v>3.083333333333333</v>
      </c>
      <c r="AT75" s="27">
        <f t="shared" si="1"/>
        <v>3.166666666666667</v>
      </c>
      <c r="AU75" s="27">
        <f t="shared" si="1"/>
        <v>3.25</v>
      </c>
      <c r="AV75" s="27">
        <f t="shared" si="1"/>
        <v>3.333333333333333</v>
      </c>
      <c r="AW75" s="27">
        <f t="shared" si="1"/>
        <v>3.416666666666667</v>
      </c>
      <c r="AX75" s="27">
        <f t="shared" si="1"/>
        <v>3.5</v>
      </c>
      <c r="AY75" s="27">
        <f t="shared" si="1"/>
        <v>3.5833333333333335</v>
      </c>
      <c r="AZ75" s="27">
        <f t="shared" si="1"/>
        <v>3.6666666666666665</v>
      </c>
      <c r="BA75" s="27">
        <f t="shared" si="1"/>
        <v>3.75</v>
      </c>
      <c r="BB75" s="27">
        <f t="shared" si="1"/>
        <v>3.8333333333333335</v>
      </c>
      <c r="BC75" s="27">
        <f t="shared" si="1"/>
        <v>3.9166666666666665</v>
      </c>
      <c r="BD75" s="27">
        <f t="shared" si="1"/>
        <v>4</v>
      </c>
    </row>
  </sheetData>
  <pageMargins left="0.25" right="0.25" top="0.75" bottom="0.75" header="0.3" footer="0.3"/>
  <pageSetup paperSize="9" scale="32"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9"/>
  <sheetViews>
    <sheetView workbookViewId="0">
      <selection activeCell="A2" sqref="A2"/>
    </sheetView>
  </sheetViews>
  <sheetFormatPr defaultRowHeight="15" x14ac:dyDescent="0.25"/>
  <cols>
    <col min="1" max="1" width="47.42578125" customWidth="1"/>
    <col min="2" max="2" width="24.42578125" customWidth="1"/>
    <col min="3" max="3" width="13.42578125" customWidth="1"/>
    <col min="4" max="4" width="11.85546875" customWidth="1"/>
    <col min="7" max="7" width="12.85546875" customWidth="1"/>
    <col min="11" max="11" width="18" customWidth="1"/>
    <col min="13" max="13" width="15.42578125" customWidth="1"/>
  </cols>
  <sheetData>
    <row r="1" spans="1:13" ht="45" x14ac:dyDescent="0.25">
      <c r="A1" s="8" t="s">
        <v>44</v>
      </c>
      <c r="B1" s="8"/>
      <c r="C1" s="8"/>
      <c r="D1" s="8"/>
      <c r="E1" s="8"/>
      <c r="F1" s="8"/>
      <c r="G1" s="8"/>
      <c r="H1" s="8"/>
      <c r="I1" s="8"/>
    </row>
    <row r="2" spans="1:13" x14ac:dyDescent="0.25">
      <c r="A2" s="8"/>
      <c r="B2" s="8"/>
      <c r="C2" s="8"/>
      <c r="D2" s="8"/>
      <c r="E2" s="8"/>
      <c r="F2" s="8"/>
      <c r="G2" s="8"/>
      <c r="H2" s="8"/>
      <c r="I2" s="8"/>
    </row>
    <row r="3" spans="1:13" x14ac:dyDescent="0.25">
      <c r="A3" s="8"/>
      <c r="B3" s="8"/>
      <c r="C3" s="8"/>
      <c r="D3" s="8"/>
      <c r="E3" s="8"/>
      <c r="F3" s="8"/>
      <c r="G3" s="8"/>
      <c r="H3" s="8"/>
      <c r="I3" s="8"/>
    </row>
    <row r="4" spans="1:13" x14ac:dyDescent="0.25">
      <c r="A4" s="8"/>
      <c r="B4" s="8"/>
      <c r="C4" s="8"/>
      <c r="D4" s="8"/>
      <c r="E4" s="8"/>
      <c r="F4" s="8"/>
      <c r="G4" s="8"/>
      <c r="H4" s="8"/>
      <c r="I4" s="8"/>
    </row>
    <row r="5" spans="1:13" x14ac:dyDescent="0.25">
      <c r="A5" s="8"/>
      <c r="B5" s="8"/>
      <c r="C5" s="8"/>
      <c r="D5" s="8"/>
      <c r="E5" s="8"/>
      <c r="F5" s="8"/>
      <c r="G5" s="8"/>
      <c r="H5" s="8"/>
      <c r="I5" s="8"/>
    </row>
    <row r="6" spans="1:13" x14ac:dyDescent="0.25">
      <c r="A6" s="8"/>
      <c r="B6" s="9"/>
      <c r="C6" s="9"/>
      <c r="D6" s="8"/>
      <c r="E6" s="8"/>
      <c r="F6" s="8"/>
      <c r="G6" s="9"/>
      <c r="H6" s="8"/>
      <c r="I6" s="8"/>
      <c r="L6" s="6"/>
      <c r="M6" s="1"/>
    </row>
    <row r="7" spans="1:13" x14ac:dyDescent="0.25">
      <c r="A7" s="8"/>
      <c r="B7" s="10"/>
      <c r="C7" s="10"/>
      <c r="D7" s="8"/>
      <c r="E7" s="8"/>
      <c r="F7" s="8"/>
      <c r="G7" s="10"/>
      <c r="H7" s="8"/>
      <c r="I7" s="8"/>
      <c r="L7" s="6"/>
      <c r="M7" s="1"/>
    </row>
    <row r="8" spans="1:13" x14ac:dyDescent="0.25">
      <c r="A8" s="8"/>
      <c r="B8" s="10"/>
      <c r="C8" s="10"/>
      <c r="D8" s="8"/>
      <c r="E8" s="8"/>
      <c r="F8" s="8"/>
      <c r="G8" s="11"/>
      <c r="H8" s="8"/>
      <c r="I8" s="8"/>
      <c r="L8" s="6"/>
      <c r="M8" s="1"/>
    </row>
    <row r="9" spans="1:13" x14ac:dyDescent="0.25">
      <c r="A9" s="8"/>
      <c r="B9" s="11"/>
      <c r="C9" s="11"/>
      <c r="D9" s="8"/>
      <c r="E9" s="8"/>
      <c r="F9" s="8"/>
      <c r="G9" s="11"/>
      <c r="H9" s="8"/>
      <c r="I9" s="8"/>
      <c r="L9" s="6"/>
      <c r="M9" s="1"/>
    </row>
    <row r="10" spans="1:13" x14ac:dyDescent="0.25">
      <c r="A10" s="8"/>
      <c r="B10" s="11"/>
      <c r="C10" s="11"/>
      <c r="D10" s="8"/>
      <c r="E10" s="8"/>
      <c r="F10" s="8"/>
      <c r="G10" s="8"/>
      <c r="H10" s="8"/>
      <c r="I10" s="8"/>
      <c r="L10" s="6"/>
      <c r="M10" s="1"/>
    </row>
    <row r="11" spans="1:13" x14ac:dyDescent="0.25">
      <c r="A11" s="8"/>
      <c r="B11" s="20"/>
      <c r="C11" s="20"/>
      <c r="D11" s="8"/>
      <c r="E11" s="8"/>
      <c r="F11" s="8"/>
      <c r="G11" s="8"/>
      <c r="H11" s="8"/>
      <c r="I11" s="8"/>
      <c r="L11" s="6"/>
      <c r="M11" s="1"/>
    </row>
    <row r="12" spans="1:13" x14ac:dyDescent="0.25">
      <c r="A12" s="8"/>
      <c r="B12" s="12"/>
      <c r="C12" s="20"/>
      <c r="D12" s="8"/>
      <c r="E12" s="8"/>
      <c r="F12" s="8"/>
      <c r="G12" s="8"/>
      <c r="H12" s="8"/>
      <c r="I12" s="8"/>
      <c r="L12" s="6"/>
      <c r="M12" s="1"/>
    </row>
    <row r="13" spans="1:13" x14ac:dyDescent="0.25">
      <c r="A13" s="8"/>
      <c r="B13" s="8"/>
      <c r="C13" s="8"/>
      <c r="D13" s="8"/>
      <c r="E13" s="8"/>
      <c r="F13" s="8"/>
      <c r="G13" s="21"/>
      <c r="H13" s="8"/>
      <c r="I13" s="8"/>
      <c r="L13" s="6"/>
      <c r="M13" s="1"/>
    </row>
    <row r="14" spans="1:13" x14ac:dyDescent="0.25">
      <c r="A14" s="8"/>
      <c r="B14" s="8"/>
      <c r="C14" s="8"/>
      <c r="D14" s="8"/>
      <c r="E14" s="8"/>
      <c r="F14" s="8"/>
      <c r="G14" s="13"/>
      <c r="H14" s="8"/>
      <c r="I14" s="8"/>
      <c r="L14" s="6"/>
      <c r="M14" s="1"/>
    </row>
    <row r="15" spans="1:13" x14ac:dyDescent="0.25">
      <c r="A15" s="8"/>
      <c r="B15" s="8"/>
      <c r="C15" s="8"/>
      <c r="D15" s="8"/>
      <c r="E15" s="8"/>
      <c r="F15" s="8"/>
      <c r="G15" s="11"/>
      <c r="H15" s="11"/>
      <c r="I15" s="8"/>
      <c r="L15" s="6"/>
      <c r="M15" s="1"/>
    </row>
    <row r="16" spans="1:13" x14ac:dyDescent="0.25">
      <c r="A16" s="8"/>
      <c r="B16" s="8"/>
      <c r="C16" s="8"/>
      <c r="D16" s="8"/>
      <c r="E16" s="8"/>
      <c r="F16" s="8"/>
      <c r="G16" s="14"/>
      <c r="H16" s="8"/>
      <c r="I16" s="8"/>
      <c r="L16" s="6"/>
      <c r="M16" s="1"/>
    </row>
    <row r="17" spans="1:13" x14ac:dyDescent="0.25">
      <c r="A17" s="8"/>
      <c r="B17" s="8"/>
      <c r="C17" s="8"/>
      <c r="D17" s="8"/>
      <c r="E17" s="8"/>
      <c r="F17" s="8"/>
      <c r="G17" s="8"/>
      <c r="H17" s="8"/>
      <c r="I17" s="8"/>
      <c r="L17" s="6"/>
      <c r="M17" s="1"/>
    </row>
    <row r="18" spans="1:13" x14ac:dyDescent="0.25">
      <c r="A18" s="8"/>
      <c r="B18" s="8"/>
      <c r="C18" s="8"/>
      <c r="D18" s="8"/>
      <c r="E18" s="8"/>
      <c r="F18" s="8"/>
      <c r="G18" s="8"/>
      <c r="H18" s="8"/>
      <c r="I18" s="8"/>
      <c r="L18" s="6"/>
      <c r="M18" s="1"/>
    </row>
    <row r="19" spans="1:13" x14ac:dyDescent="0.25">
      <c r="A19" s="8"/>
      <c r="B19" s="8"/>
      <c r="C19" s="8"/>
      <c r="D19" s="8"/>
      <c r="E19" s="8"/>
      <c r="F19" s="8"/>
      <c r="G19" s="8"/>
      <c r="H19" s="8"/>
      <c r="I19" s="8"/>
    </row>
    <row r="20" spans="1:13" x14ac:dyDescent="0.25">
      <c r="A20" s="8"/>
      <c r="B20" s="8"/>
      <c r="C20" s="8"/>
      <c r="D20" s="8"/>
      <c r="E20" s="8"/>
      <c r="F20" s="8"/>
      <c r="G20" s="8"/>
      <c r="H20" s="8"/>
      <c r="I20" s="8"/>
    </row>
    <row r="21" spans="1:13" x14ac:dyDescent="0.25">
      <c r="A21" s="8"/>
      <c r="B21" s="8"/>
      <c r="C21" s="8"/>
      <c r="D21" s="8"/>
      <c r="E21" s="8"/>
      <c r="F21" s="8"/>
      <c r="G21" s="8"/>
      <c r="H21" s="8"/>
      <c r="I21" s="8"/>
    </row>
    <row r="22" spans="1:13" x14ac:dyDescent="0.25">
      <c r="A22" s="8"/>
      <c r="B22" s="8"/>
      <c r="C22" s="8"/>
      <c r="D22" s="8"/>
      <c r="E22" s="8"/>
      <c r="F22" s="8"/>
      <c r="G22" s="8"/>
      <c r="H22" s="8"/>
      <c r="I22" s="8"/>
    </row>
    <row r="23" spans="1:13" x14ac:dyDescent="0.25">
      <c r="A23" s="8"/>
      <c r="B23" s="8"/>
      <c r="C23" s="8"/>
      <c r="D23" s="8"/>
      <c r="E23" s="8"/>
      <c r="F23" s="8"/>
      <c r="G23" s="8"/>
      <c r="H23" s="8"/>
      <c r="I23" s="8"/>
    </row>
    <row r="24" spans="1:13" x14ac:dyDescent="0.25">
      <c r="A24" s="8"/>
      <c r="B24" s="8"/>
      <c r="C24" s="8"/>
      <c r="D24" s="8"/>
      <c r="E24" s="8"/>
      <c r="F24" s="8"/>
      <c r="G24" s="8"/>
      <c r="H24" s="8"/>
      <c r="I24" s="8"/>
    </row>
    <row r="25" spans="1:13" x14ac:dyDescent="0.25">
      <c r="A25" s="8"/>
      <c r="B25" s="8"/>
      <c r="C25" s="8"/>
      <c r="D25" s="8"/>
      <c r="E25" s="8"/>
      <c r="F25" s="8"/>
      <c r="G25" s="8"/>
      <c r="H25" s="8"/>
      <c r="I25" s="8"/>
    </row>
    <row r="26" spans="1:13" x14ac:dyDescent="0.25">
      <c r="A26" s="8"/>
      <c r="B26" s="9"/>
      <c r="C26" s="9"/>
      <c r="D26" s="8"/>
      <c r="E26" s="8"/>
      <c r="F26" s="8"/>
      <c r="G26" s="9"/>
      <c r="H26" s="8"/>
      <c r="I26" s="8"/>
    </row>
    <row r="27" spans="1:13" x14ac:dyDescent="0.25">
      <c r="A27" s="8"/>
      <c r="B27" s="10"/>
      <c r="C27" s="10"/>
      <c r="D27" s="8"/>
      <c r="E27" s="8"/>
      <c r="F27" s="8"/>
      <c r="G27" s="10"/>
      <c r="H27" s="8"/>
      <c r="I27" s="8"/>
    </row>
    <row r="28" spans="1:13" x14ac:dyDescent="0.25">
      <c r="A28" s="8"/>
      <c r="B28" s="10"/>
      <c r="C28" s="10"/>
      <c r="D28" s="8"/>
      <c r="E28" s="8"/>
      <c r="F28" s="8"/>
      <c r="G28" s="11"/>
      <c r="H28" s="8"/>
      <c r="I28" s="8"/>
    </row>
    <row r="29" spans="1:13" x14ac:dyDescent="0.25">
      <c r="A29" s="8"/>
      <c r="B29" s="11"/>
      <c r="C29" s="11"/>
      <c r="D29" s="8"/>
      <c r="E29" s="8"/>
      <c r="F29" s="8"/>
      <c r="G29" s="11"/>
      <c r="H29" s="8"/>
      <c r="I29" s="8"/>
    </row>
    <row r="30" spans="1:13" x14ac:dyDescent="0.25">
      <c r="A30" s="8"/>
      <c r="B30" s="11"/>
      <c r="C30" s="11"/>
      <c r="D30" s="8"/>
      <c r="E30" s="8"/>
      <c r="F30" s="8"/>
      <c r="G30" s="8"/>
      <c r="H30" s="8"/>
      <c r="I30" s="8"/>
    </row>
    <row r="31" spans="1:13" x14ac:dyDescent="0.25">
      <c r="A31" s="8"/>
      <c r="B31" s="20"/>
      <c r="C31" s="20"/>
      <c r="D31" s="8"/>
      <c r="E31" s="8"/>
      <c r="F31" s="8"/>
      <c r="G31" s="8"/>
      <c r="H31" s="8"/>
      <c r="I31" s="8"/>
    </row>
    <row r="32" spans="1:13" x14ac:dyDescent="0.25">
      <c r="A32" s="8"/>
      <c r="B32" s="12"/>
      <c r="C32" s="20"/>
      <c r="D32" s="8"/>
      <c r="E32" s="8"/>
      <c r="F32" s="8"/>
      <c r="G32" s="8"/>
      <c r="H32" s="8"/>
      <c r="I32" s="8"/>
    </row>
    <row r="33" spans="1:9" x14ac:dyDescent="0.25">
      <c r="A33" s="8"/>
      <c r="B33" s="8"/>
      <c r="C33" s="8"/>
      <c r="D33" s="8"/>
      <c r="E33" s="8"/>
      <c r="F33" s="8"/>
      <c r="G33" s="21"/>
      <c r="H33" s="8"/>
      <c r="I33" s="8"/>
    </row>
    <row r="34" spans="1:9" x14ac:dyDescent="0.25">
      <c r="A34" s="8"/>
      <c r="B34" s="8"/>
      <c r="C34" s="8"/>
      <c r="D34" s="8"/>
      <c r="E34" s="8"/>
      <c r="F34" s="8"/>
      <c r="G34" s="13"/>
      <c r="H34" s="8"/>
      <c r="I34" s="8"/>
    </row>
    <row r="35" spans="1:9" x14ac:dyDescent="0.25">
      <c r="A35" s="8"/>
      <c r="B35" s="8"/>
      <c r="C35" s="8"/>
      <c r="D35" s="8"/>
      <c r="E35" s="8"/>
      <c r="F35" s="8"/>
      <c r="G35" s="11"/>
      <c r="H35" s="8"/>
      <c r="I35" s="8"/>
    </row>
    <row r="36" spans="1:9" x14ac:dyDescent="0.25">
      <c r="A36" s="8"/>
      <c r="B36" s="8"/>
      <c r="C36" s="8"/>
      <c r="D36" s="8"/>
      <c r="E36" s="8"/>
      <c r="F36" s="8"/>
      <c r="G36" s="14"/>
      <c r="H36" s="8"/>
      <c r="I36" s="8"/>
    </row>
    <row r="37" spans="1:9" x14ac:dyDescent="0.25">
      <c r="A37" s="8"/>
      <c r="B37" s="8"/>
      <c r="C37" s="8"/>
      <c r="D37" s="8"/>
      <c r="E37" s="8"/>
      <c r="F37" s="8"/>
      <c r="G37" s="8"/>
      <c r="H37" s="8"/>
      <c r="I37" s="8"/>
    </row>
    <row r="38" spans="1:9" x14ac:dyDescent="0.25">
      <c r="A38" s="8"/>
      <c r="B38" s="8"/>
      <c r="C38" s="8"/>
      <c r="D38" s="8"/>
      <c r="E38" s="8"/>
      <c r="F38" s="8"/>
      <c r="G38" s="8"/>
      <c r="H38" s="8"/>
      <c r="I38" s="8"/>
    </row>
    <row r="39" spans="1:9" x14ac:dyDescent="0.25">
      <c r="A39" s="8"/>
      <c r="B39" s="8"/>
      <c r="C39" s="8"/>
      <c r="D39" s="8"/>
      <c r="E39" s="8"/>
      <c r="F39" s="8"/>
      <c r="G39" s="8"/>
      <c r="H39" s="8"/>
      <c r="I39" s="8"/>
    </row>
    <row r="40" spans="1:9" x14ac:dyDescent="0.25">
      <c r="A40" s="8"/>
      <c r="B40" s="8"/>
      <c r="C40" s="8"/>
      <c r="D40" s="8"/>
      <c r="E40" s="8"/>
      <c r="F40" s="8"/>
      <c r="G40" s="8"/>
      <c r="H40" s="8"/>
      <c r="I40" s="8"/>
    </row>
    <row r="41" spans="1:9" x14ac:dyDescent="0.25">
      <c r="A41" s="8"/>
      <c r="B41" s="8"/>
      <c r="C41" s="8"/>
      <c r="D41" s="8"/>
      <c r="E41" s="8"/>
      <c r="F41" s="8"/>
      <c r="G41" s="8"/>
      <c r="H41" s="8"/>
      <c r="I41" s="8"/>
    </row>
    <row r="42" spans="1:9" x14ac:dyDescent="0.25">
      <c r="A42" s="8"/>
      <c r="B42" s="8"/>
      <c r="C42" s="8"/>
      <c r="D42" s="8"/>
      <c r="E42" s="8"/>
      <c r="F42" s="8"/>
      <c r="G42" s="8"/>
      <c r="H42" s="8"/>
      <c r="I42" s="8"/>
    </row>
    <row r="43" spans="1:9" x14ac:dyDescent="0.25">
      <c r="A43" s="8"/>
      <c r="B43" s="8"/>
      <c r="C43" s="8"/>
      <c r="D43" s="8"/>
      <c r="E43" s="8"/>
      <c r="F43" s="8"/>
      <c r="G43" s="8"/>
      <c r="H43" s="8"/>
      <c r="I43" s="8"/>
    </row>
    <row r="44" spans="1:9" x14ac:dyDescent="0.25">
      <c r="A44" s="8"/>
      <c r="B44" s="8"/>
      <c r="C44" s="8"/>
      <c r="D44" s="8"/>
      <c r="E44" s="8"/>
      <c r="F44" s="8"/>
      <c r="G44" s="8"/>
      <c r="H44" s="8"/>
      <c r="I44" s="8"/>
    </row>
    <row r="45" spans="1:9" x14ac:dyDescent="0.25">
      <c r="A45" s="8"/>
      <c r="B45" s="8"/>
      <c r="C45" s="8"/>
      <c r="D45" s="8"/>
      <c r="E45" s="8"/>
      <c r="F45" s="8"/>
      <c r="G45" s="8"/>
      <c r="H45" s="8"/>
      <c r="I45" s="8"/>
    </row>
    <row r="46" spans="1:9" x14ac:dyDescent="0.25">
      <c r="A46" s="8"/>
      <c r="B46" s="9"/>
      <c r="C46" s="8"/>
      <c r="D46" s="9"/>
      <c r="E46" s="8"/>
      <c r="F46" s="8"/>
      <c r="G46" s="9"/>
      <c r="H46" s="8"/>
      <c r="I46" s="8"/>
    </row>
    <row r="47" spans="1:9" x14ac:dyDescent="0.25">
      <c r="A47" s="8"/>
      <c r="B47" s="10"/>
      <c r="C47" s="8"/>
      <c r="D47" s="10"/>
      <c r="E47" s="8"/>
      <c r="F47" s="8"/>
      <c r="G47" s="10"/>
      <c r="H47" s="8"/>
      <c r="I47" s="8"/>
    </row>
    <row r="48" spans="1:9" x14ac:dyDescent="0.25">
      <c r="A48" s="8"/>
      <c r="B48" s="10"/>
      <c r="C48" s="15"/>
      <c r="D48" s="10"/>
      <c r="E48" s="8"/>
      <c r="F48" s="8"/>
      <c r="G48" s="11"/>
      <c r="H48" s="8"/>
      <c r="I48" s="8"/>
    </row>
    <row r="49" spans="1:9" x14ac:dyDescent="0.25">
      <c r="A49" s="8"/>
      <c r="B49" s="8"/>
      <c r="C49" s="11"/>
      <c r="D49" s="11"/>
      <c r="E49" s="8"/>
      <c r="F49" s="8"/>
      <c r="G49" s="11"/>
      <c r="H49" s="8"/>
      <c r="I49" s="8"/>
    </row>
    <row r="50" spans="1:9" x14ac:dyDescent="0.25">
      <c r="A50" s="8"/>
      <c r="B50" s="11"/>
      <c r="C50" s="8"/>
      <c r="D50" s="11"/>
      <c r="E50" s="8"/>
      <c r="F50" s="8"/>
      <c r="G50" s="8"/>
      <c r="H50" s="8"/>
      <c r="I50" s="8"/>
    </row>
    <row r="51" spans="1:9" x14ac:dyDescent="0.25">
      <c r="A51" s="8"/>
      <c r="B51" s="20"/>
      <c r="C51" s="20"/>
      <c r="D51" s="20"/>
      <c r="E51" s="8"/>
      <c r="F51" s="8"/>
      <c r="G51" s="8"/>
      <c r="H51" s="8"/>
      <c r="I51" s="8"/>
    </row>
    <row r="52" spans="1:9" x14ac:dyDescent="0.25">
      <c r="A52" s="8"/>
      <c r="B52" s="20"/>
      <c r="C52" s="20"/>
      <c r="D52" s="20"/>
      <c r="E52" s="8"/>
      <c r="F52" s="8"/>
      <c r="G52" s="8"/>
      <c r="H52" s="8"/>
      <c r="I52" s="8"/>
    </row>
    <row r="53" spans="1:9" x14ac:dyDescent="0.25">
      <c r="A53" s="8"/>
      <c r="B53" s="8"/>
      <c r="C53" s="8"/>
      <c r="D53" s="8"/>
      <c r="E53" s="8"/>
      <c r="F53" s="8"/>
      <c r="G53" s="21"/>
      <c r="H53" s="8"/>
      <c r="I53" s="8"/>
    </row>
    <row r="54" spans="1:9" x14ac:dyDescent="0.25">
      <c r="A54" s="8"/>
      <c r="B54" s="8"/>
      <c r="C54" s="8"/>
      <c r="D54" s="8"/>
      <c r="E54" s="8"/>
      <c r="F54" s="8"/>
      <c r="G54" s="13"/>
      <c r="H54" s="8"/>
      <c r="I54" s="8"/>
    </row>
    <row r="55" spans="1:9" x14ac:dyDescent="0.25">
      <c r="A55" s="8"/>
      <c r="B55" s="8"/>
      <c r="C55" s="8"/>
      <c r="D55" s="8"/>
      <c r="E55" s="8"/>
      <c r="F55" s="8"/>
      <c r="G55" s="11"/>
      <c r="H55" s="8"/>
      <c r="I55" s="8"/>
    </row>
    <row r="56" spans="1:9" x14ac:dyDescent="0.25">
      <c r="A56" s="8"/>
      <c r="B56" s="8"/>
      <c r="C56" s="8"/>
      <c r="D56" s="8"/>
      <c r="E56" s="8"/>
      <c r="F56" s="8"/>
      <c r="G56" s="14"/>
      <c r="H56" s="8"/>
      <c r="I56" s="8"/>
    </row>
    <row r="57" spans="1:9" x14ac:dyDescent="0.25">
      <c r="A57" s="8"/>
      <c r="B57" s="8"/>
      <c r="C57" s="8"/>
      <c r="D57" s="8"/>
      <c r="E57" s="8"/>
      <c r="F57" s="8"/>
      <c r="G57" s="8"/>
      <c r="H57" s="8"/>
      <c r="I57" s="8"/>
    </row>
    <row r="58" spans="1:9" x14ac:dyDescent="0.25">
      <c r="A58" s="8"/>
      <c r="B58" s="8"/>
      <c r="C58" s="8"/>
      <c r="D58" s="8"/>
      <c r="E58" s="8"/>
      <c r="F58" s="8"/>
      <c r="G58" s="8"/>
      <c r="H58" s="8"/>
      <c r="I58" s="8"/>
    </row>
    <row r="59" spans="1:9" x14ac:dyDescent="0.25">
      <c r="A59" s="8"/>
      <c r="B59" s="8"/>
      <c r="C59" s="8"/>
      <c r="D59" s="8"/>
      <c r="E59" s="8"/>
      <c r="F59" s="8"/>
      <c r="G59" s="8"/>
      <c r="H59" s="8"/>
      <c r="I59" s="8"/>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75"/>
  <sheetViews>
    <sheetView workbookViewId="0">
      <selection activeCell="A33" sqref="A33"/>
    </sheetView>
  </sheetViews>
  <sheetFormatPr defaultRowHeight="15" x14ac:dyDescent="0.25"/>
  <cols>
    <col min="1" max="1" width="48.7109375" customWidth="1"/>
    <col min="2" max="2" width="13.85546875" customWidth="1"/>
    <col min="3" max="3" width="11.7109375" customWidth="1"/>
    <col min="4" max="4" width="12.28515625" customWidth="1"/>
    <col min="7" max="7" width="13.28515625" customWidth="1"/>
    <col min="8" max="8" width="11.42578125" customWidth="1"/>
    <col min="9" max="9" width="14.7109375" customWidth="1"/>
    <col min="13" max="13" width="12.28515625" customWidth="1"/>
  </cols>
  <sheetData>
    <row r="1" spans="1:9" x14ac:dyDescent="0.25">
      <c r="A1" t="s">
        <v>45</v>
      </c>
    </row>
    <row r="2" spans="1:9" x14ac:dyDescent="0.25">
      <c r="A2" t="s">
        <v>57</v>
      </c>
    </row>
    <row r="3" spans="1:9" x14ac:dyDescent="0.25">
      <c r="A3" s="26" t="s">
        <v>63</v>
      </c>
    </row>
    <row r="4" spans="1:9" x14ac:dyDescent="0.25">
      <c r="B4" t="s">
        <v>0</v>
      </c>
      <c r="G4" t="s">
        <v>46</v>
      </c>
    </row>
    <row r="5" spans="1:9" x14ac:dyDescent="0.25">
      <c r="B5" s="24" t="s">
        <v>62</v>
      </c>
      <c r="G5" t="s">
        <v>3</v>
      </c>
      <c r="H5" t="s">
        <v>14</v>
      </c>
    </row>
    <row r="6" spans="1:9" x14ac:dyDescent="0.25">
      <c r="A6" t="s">
        <v>26</v>
      </c>
      <c r="B6" s="1">
        <v>40420636</v>
      </c>
      <c r="G6" s="1">
        <v>5584329</v>
      </c>
      <c r="H6" s="1">
        <v>7743399</v>
      </c>
    </row>
    <row r="7" spans="1:9" x14ac:dyDescent="0.25">
      <c r="A7" t="s">
        <v>55</v>
      </c>
      <c r="B7">
        <v>2019</v>
      </c>
      <c r="C7">
        <v>2018</v>
      </c>
      <c r="G7">
        <v>2021</v>
      </c>
      <c r="H7">
        <v>2021</v>
      </c>
    </row>
    <row r="8" spans="1:9" ht="30" x14ac:dyDescent="0.25">
      <c r="A8" s="8" t="s">
        <v>25</v>
      </c>
      <c r="B8" s="25">
        <v>2.1999999999999999E-2</v>
      </c>
      <c r="C8" s="25">
        <v>2.1000000000000001E-2</v>
      </c>
      <c r="G8">
        <v>2.1594166228033309E-2</v>
      </c>
      <c r="H8" s="6">
        <v>2.3894889587673041E-2</v>
      </c>
    </row>
    <row r="9" spans="1:9" x14ac:dyDescent="0.25">
      <c r="B9" s="25"/>
      <c r="C9" s="25"/>
    </row>
    <row r="10" spans="1:9" x14ac:dyDescent="0.25">
      <c r="A10" t="s">
        <v>12</v>
      </c>
      <c r="B10" s="1">
        <v>-1000000</v>
      </c>
      <c r="C10" s="1">
        <v>-500000</v>
      </c>
      <c r="G10" s="2">
        <v>750000</v>
      </c>
      <c r="H10" s="2">
        <v>750000</v>
      </c>
      <c r="I10" s="7">
        <f>+B10+C10+G10+H10</f>
        <v>0</v>
      </c>
    </row>
    <row r="11" spans="1:9" x14ac:dyDescent="0.25">
      <c r="A11" t="s">
        <v>2</v>
      </c>
      <c r="C11" s="2">
        <f>+B6+B10+C10</f>
        <v>38920636</v>
      </c>
      <c r="D11" s="16"/>
      <c r="G11" s="2">
        <f>+G6+G10</f>
        <v>6334329</v>
      </c>
      <c r="H11" s="2">
        <f>+H6+H10</f>
        <v>8493399</v>
      </c>
    </row>
    <row r="12" spans="1:9" ht="30" x14ac:dyDescent="0.25">
      <c r="A12" s="8" t="s">
        <v>56</v>
      </c>
      <c r="B12" s="2">
        <v>2</v>
      </c>
      <c r="C12" s="2">
        <v>1</v>
      </c>
    </row>
    <row r="13" spans="1:9" x14ac:dyDescent="0.25">
      <c r="A13" s="26" t="s">
        <v>40</v>
      </c>
      <c r="B13" s="18">
        <f>-+B12*B10*B8*365/100</f>
        <v>160600</v>
      </c>
      <c r="C13" s="18">
        <f>-+C12*C10*C8*365/100</f>
        <v>38325</v>
      </c>
      <c r="D13" s="19"/>
      <c r="E13" s="17"/>
      <c r="F13" s="17"/>
      <c r="G13" s="17"/>
    </row>
    <row r="14" spans="1:9" x14ac:dyDescent="0.25">
      <c r="B14" s="17"/>
      <c r="C14" s="17"/>
      <c r="D14" s="17"/>
      <c r="E14" s="17"/>
      <c r="F14" s="17"/>
      <c r="G14" s="17"/>
    </row>
    <row r="15" spans="1:9" x14ac:dyDescent="0.25">
      <c r="A15" t="s">
        <v>20</v>
      </c>
      <c r="B15" s="18"/>
      <c r="C15" s="18">
        <f>+B13+C13</f>
        <v>198925</v>
      </c>
      <c r="D15" s="17"/>
      <c r="E15" s="17"/>
      <c r="F15" s="17"/>
      <c r="G15" s="17"/>
    </row>
    <row r="16" spans="1:9" x14ac:dyDescent="0.25">
      <c r="A16" t="s">
        <v>21</v>
      </c>
      <c r="B16" s="17"/>
      <c r="C16" s="17"/>
      <c r="D16" s="17"/>
      <c r="E16" s="17"/>
      <c r="F16" s="17"/>
      <c r="G16" s="17">
        <f>+$C15*+G10/($G10+$H10)</f>
        <v>99462.5</v>
      </c>
      <c r="H16" s="17">
        <f>+$C15*+H10/($G10+$H10)</f>
        <v>99462.5</v>
      </c>
      <c r="I16" t="s">
        <v>48</v>
      </c>
    </row>
    <row r="17" spans="1:9" x14ac:dyDescent="0.25">
      <c r="A17" t="s">
        <v>30</v>
      </c>
      <c r="G17" s="3">
        <f>+G16/(G10*G8*365/100)</f>
        <v>1.6825531928232449</v>
      </c>
      <c r="H17" s="3">
        <f>+H16/(H10*H8*365/100)</f>
        <v>1.5205482829297969</v>
      </c>
    </row>
    <row r="18" spans="1:9" x14ac:dyDescent="0.25">
      <c r="A18" t="s">
        <v>51</v>
      </c>
      <c r="G18" s="3">
        <f>MIN(4,HLOOKUP(G17+1/12,$I$75:$BD$75,1))</f>
        <v>1.75</v>
      </c>
      <c r="H18" s="3">
        <f>MIN(4,HLOOKUP(H17+1/12,$I$75:$BD$75,1))</f>
        <v>1.5833333333333335</v>
      </c>
    </row>
    <row r="19" spans="1:9" x14ac:dyDescent="0.25">
      <c r="A19" t="s">
        <v>28</v>
      </c>
      <c r="G19" s="3">
        <f>MAX($B12:$C12)</f>
        <v>2</v>
      </c>
      <c r="H19" s="3">
        <f>MAX($B12:$C12)</f>
        <v>2</v>
      </c>
      <c r="I19" t="s">
        <v>42</v>
      </c>
    </row>
    <row r="20" spans="1:9" ht="60" x14ac:dyDescent="0.25">
      <c r="A20" s="8" t="s">
        <v>29</v>
      </c>
      <c r="G20" s="5">
        <f>MAX(G10*G8*G18*365/100,G10*G8*G19*365/100)</f>
        <v>118228.06009848237</v>
      </c>
      <c r="H20" s="5">
        <f>MAX(H10*H8*H18*365/100,H10*H8*H19*365/100)</f>
        <v>130824.52049250992</v>
      </c>
      <c r="I20" t="s">
        <v>47</v>
      </c>
    </row>
    <row r="21" spans="1:9" x14ac:dyDescent="0.25">
      <c r="A21" s="22" t="s">
        <v>36</v>
      </c>
      <c r="B21" s="22"/>
      <c r="C21" s="22"/>
      <c r="D21" s="22"/>
      <c r="E21" s="22"/>
      <c r="F21" s="22"/>
      <c r="G21" s="22">
        <f>+G20-G16</f>
        <v>18765.560098482369</v>
      </c>
      <c r="H21" s="22">
        <f>+H20-H16</f>
        <v>31362.020492509924</v>
      </c>
      <c r="I21" t="s">
        <v>34</v>
      </c>
    </row>
    <row r="25" spans="1:9" x14ac:dyDescent="0.25">
      <c r="A25" t="s">
        <v>69</v>
      </c>
    </row>
    <row r="26" spans="1:9" x14ac:dyDescent="0.25">
      <c r="A26" s="26" t="s">
        <v>65</v>
      </c>
    </row>
    <row r="27" spans="1:9" x14ac:dyDescent="0.25">
      <c r="B27" t="s">
        <v>0</v>
      </c>
      <c r="G27" t="s">
        <v>1</v>
      </c>
    </row>
    <row r="28" spans="1:9" x14ac:dyDescent="0.25">
      <c r="B28" t="s">
        <v>32</v>
      </c>
      <c r="G28" t="s">
        <v>3</v>
      </c>
      <c r="H28" t="s">
        <v>14</v>
      </c>
    </row>
    <row r="29" spans="1:9" x14ac:dyDescent="0.25">
      <c r="A29" t="s">
        <v>26</v>
      </c>
      <c r="B29" s="1">
        <v>40420636</v>
      </c>
      <c r="G29" s="1">
        <v>5584329</v>
      </c>
      <c r="H29" s="1">
        <v>7743399</v>
      </c>
    </row>
    <row r="30" spans="1:9" x14ac:dyDescent="0.25">
      <c r="B30" s="25">
        <v>2020</v>
      </c>
      <c r="C30" s="25">
        <v>2019</v>
      </c>
      <c r="G30">
        <v>2021</v>
      </c>
      <c r="H30">
        <v>2021</v>
      </c>
    </row>
    <row r="31" spans="1:9" ht="30" x14ac:dyDescent="0.25">
      <c r="A31" s="8" t="s">
        <v>25</v>
      </c>
      <c r="B31" s="25">
        <v>3.5000000000000003E-2</v>
      </c>
      <c r="C31" s="25">
        <v>3.5000000000000003E-2</v>
      </c>
      <c r="G31">
        <v>2.1594166228033309E-2</v>
      </c>
      <c r="H31" s="6">
        <v>2.3894889587673041E-2</v>
      </c>
    </row>
    <row r="32" spans="1:9" x14ac:dyDescent="0.25">
      <c r="B32" s="25"/>
      <c r="C32" s="25"/>
    </row>
    <row r="33" spans="1:9" x14ac:dyDescent="0.25">
      <c r="A33" t="s">
        <v>12</v>
      </c>
      <c r="B33" s="1">
        <v>-1000000</v>
      </c>
      <c r="C33" s="1">
        <v>-500000</v>
      </c>
      <c r="G33" s="2">
        <v>750000</v>
      </c>
      <c r="H33" s="2">
        <v>750000</v>
      </c>
    </row>
    <row r="34" spans="1:9" x14ac:dyDescent="0.25">
      <c r="A34" t="s">
        <v>2</v>
      </c>
      <c r="C34" s="2">
        <f>+B29+B33+C33</f>
        <v>38920636</v>
      </c>
      <c r="D34" s="16"/>
      <c r="G34" s="2">
        <f>+G29+G33</f>
        <v>6334329</v>
      </c>
      <c r="H34" s="2">
        <f>+H29+H33</f>
        <v>8493399</v>
      </c>
    </row>
    <row r="35" spans="1:9" ht="30" x14ac:dyDescent="0.25">
      <c r="A35" s="8" t="s">
        <v>56</v>
      </c>
      <c r="B35" s="2">
        <v>3</v>
      </c>
      <c r="C35" s="2">
        <v>2</v>
      </c>
    </row>
    <row r="36" spans="1:9" x14ac:dyDescent="0.25">
      <c r="A36" s="26" t="s">
        <v>40</v>
      </c>
      <c r="B36" s="18">
        <f>-+B35*B33*B31*365/100</f>
        <v>383250.00000000006</v>
      </c>
      <c r="C36" s="18">
        <f>-+C35*C33*C31*365/100</f>
        <v>127750</v>
      </c>
      <c r="D36" s="19"/>
      <c r="E36" s="17"/>
      <c r="F36" s="17"/>
      <c r="G36" s="17"/>
    </row>
    <row r="37" spans="1:9" x14ac:dyDescent="0.25">
      <c r="B37" s="17"/>
      <c r="C37" s="17"/>
      <c r="D37" s="17"/>
      <c r="E37" s="17"/>
      <c r="F37" s="17"/>
      <c r="G37" s="17"/>
    </row>
    <row r="38" spans="1:9" x14ac:dyDescent="0.25">
      <c r="A38" t="s">
        <v>20</v>
      </c>
      <c r="B38" s="18"/>
      <c r="C38" s="18">
        <f>+B36+C36</f>
        <v>511000.00000000006</v>
      </c>
      <c r="D38" s="17"/>
      <c r="E38" s="17"/>
      <c r="F38" s="17"/>
      <c r="G38" s="17"/>
    </row>
    <row r="39" spans="1:9" x14ac:dyDescent="0.25">
      <c r="A39" t="s">
        <v>21</v>
      </c>
      <c r="B39" s="17"/>
      <c r="C39" s="17"/>
      <c r="D39" s="17"/>
      <c r="E39" s="17"/>
      <c r="F39" s="17"/>
      <c r="G39" s="17">
        <f>+$C38*+G33/($G33+$H33)</f>
        <v>255500.00000000003</v>
      </c>
      <c r="H39" s="17">
        <f>+$C38*+H33/($G33+$H33)</f>
        <v>255500.00000000003</v>
      </c>
    </row>
    <row r="40" spans="1:9" x14ac:dyDescent="0.25">
      <c r="A40" t="s">
        <v>27</v>
      </c>
      <c r="G40" s="3">
        <f>+G39/(G33*G31*365/100)</f>
        <v>4.3221549907386114</v>
      </c>
      <c r="H40" s="3">
        <f>+H39/(H33*H31*365/100)</f>
        <v>3.9059955891774605</v>
      </c>
    </row>
    <row r="41" spans="1:9" x14ac:dyDescent="0.25">
      <c r="A41" t="s">
        <v>51</v>
      </c>
      <c r="G41" s="3">
        <f>MIN(4,HLOOKUP(G40+1/12,$I$75:$BD$75,1))</f>
        <v>4</v>
      </c>
      <c r="H41" s="3">
        <f>MIN(4,HLOOKUP(H40+1/12,$I$75:$BD$75,1))</f>
        <v>3.9166666666666665</v>
      </c>
      <c r="I41" t="s">
        <v>49</v>
      </c>
    </row>
    <row r="42" spans="1:9" x14ac:dyDescent="0.25">
      <c r="A42" t="s">
        <v>28</v>
      </c>
      <c r="G42" s="3">
        <f>MAX($B35:$C35)</f>
        <v>3</v>
      </c>
      <c r="H42" s="3">
        <f>MAX($B35:$C35)</f>
        <v>3</v>
      </c>
    </row>
    <row r="43" spans="1:9" ht="60" x14ac:dyDescent="0.25">
      <c r="A43" s="8" t="s">
        <v>29</v>
      </c>
      <c r="G43" s="5">
        <f>MAX(G33*G31*G41*365/100,G33*G31*G42*365/100)</f>
        <v>236456.12019696474</v>
      </c>
      <c r="H43" s="5">
        <f>MAX(H33*H31*H41*365/100,H33*H31*H42*365/100)</f>
        <v>256198.01929783187</v>
      </c>
      <c r="I43" t="s">
        <v>50</v>
      </c>
    </row>
    <row r="44" spans="1:9" x14ac:dyDescent="0.25">
      <c r="A44" s="22" t="s">
        <v>36</v>
      </c>
      <c r="B44" s="22"/>
      <c r="C44" s="22"/>
      <c r="D44" s="22"/>
      <c r="E44" s="22"/>
      <c r="F44" s="22"/>
      <c r="G44" s="22">
        <f>+G43-G39</f>
        <v>-19043.879803035292</v>
      </c>
      <c r="H44" s="22">
        <f>+H43-H39</f>
        <v>698.01929783183732</v>
      </c>
    </row>
    <row r="50" spans="1:8" x14ac:dyDescent="0.25">
      <c r="A50" t="s">
        <v>68</v>
      </c>
    </row>
    <row r="51" spans="1:8" x14ac:dyDescent="0.25">
      <c r="A51" s="26" t="s">
        <v>67</v>
      </c>
    </row>
    <row r="52" spans="1:8" x14ac:dyDescent="0.25">
      <c r="B52" t="s">
        <v>0</v>
      </c>
      <c r="G52" t="s">
        <v>1</v>
      </c>
    </row>
    <row r="53" spans="1:8" x14ac:dyDescent="0.25">
      <c r="B53" t="s">
        <v>64</v>
      </c>
      <c r="G53" t="s">
        <v>3</v>
      </c>
      <c r="H53" t="s">
        <v>14</v>
      </c>
    </row>
    <row r="54" spans="1:8" x14ac:dyDescent="0.25">
      <c r="A54" t="s">
        <v>26</v>
      </c>
      <c r="B54" s="1">
        <v>40420636</v>
      </c>
      <c r="G54" s="1">
        <v>5584329</v>
      </c>
      <c r="H54" s="1">
        <v>7743399</v>
      </c>
    </row>
    <row r="55" spans="1:8" x14ac:dyDescent="0.25">
      <c r="B55">
        <v>2020</v>
      </c>
      <c r="C55">
        <v>2019</v>
      </c>
      <c r="G55">
        <v>2021</v>
      </c>
      <c r="H55">
        <v>2021</v>
      </c>
    </row>
    <row r="56" spans="1:8" ht="30" x14ac:dyDescent="0.25">
      <c r="A56" s="8" t="s">
        <v>25</v>
      </c>
      <c r="B56" s="25">
        <v>3.5000000000000003E-2</v>
      </c>
      <c r="C56" s="25">
        <v>2.3E-2</v>
      </c>
      <c r="G56">
        <v>2.1594166228033309E-2</v>
      </c>
      <c r="H56" s="6">
        <v>2.3894889587673041E-2</v>
      </c>
    </row>
    <row r="58" spans="1:8" x14ac:dyDescent="0.25">
      <c r="A58" t="s">
        <v>12</v>
      </c>
      <c r="B58" s="1">
        <v>-1000000</v>
      </c>
      <c r="C58" s="1">
        <v>-500000</v>
      </c>
      <c r="G58" s="2">
        <v>750000</v>
      </c>
      <c r="H58" s="2">
        <v>750000</v>
      </c>
    </row>
    <row r="59" spans="1:8" x14ac:dyDescent="0.25">
      <c r="A59" t="s">
        <v>2</v>
      </c>
      <c r="C59" s="2">
        <f>+B54+B58+C58</f>
        <v>38920636</v>
      </c>
      <c r="D59" s="16"/>
      <c r="G59" s="2">
        <f>+G54+G58</f>
        <v>6334329</v>
      </c>
      <c r="H59" s="2">
        <f>+H54+H58</f>
        <v>8493399</v>
      </c>
    </row>
    <row r="60" spans="1:8" ht="30" x14ac:dyDescent="0.25">
      <c r="A60" s="8" t="s">
        <v>56</v>
      </c>
      <c r="B60" s="2">
        <v>3</v>
      </c>
      <c r="C60" s="2">
        <v>2</v>
      </c>
    </row>
    <row r="61" spans="1:8" x14ac:dyDescent="0.25">
      <c r="A61" s="26" t="s">
        <v>40</v>
      </c>
      <c r="B61" s="18">
        <f>-+B60*B58*B56*365/100</f>
        <v>383250.00000000006</v>
      </c>
      <c r="C61" s="18">
        <f>-+C60*C58*C56*365/100</f>
        <v>83950</v>
      </c>
      <c r="D61" s="19"/>
      <c r="E61" s="17"/>
      <c r="F61" s="17"/>
      <c r="G61" s="17"/>
    </row>
    <row r="62" spans="1:8" x14ac:dyDescent="0.25">
      <c r="B62" s="17"/>
      <c r="C62" s="17"/>
      <c r="D62" s="17"/>
      <c r="E62" s="17"/>
      <c r="F62" s="17"/>
      <c r="G62" s="17"/>
    </row>
    <row r="63" spans="1:8" x14ac:dyDescent="0.25">
      <c r="A63" t="s">
        <v>20</v>
      </c>
      <c r="B63" s="18"/>
      <c r="C63" s="18">
        <f>+B61+C61</f>
        <v>467200.00000000006</v>
      </c>
      <c r="D63" s="17"/>
      <c r="E63" s="17"/>
      <c r="F63" s="17"/>
      <c r="G63" s="17"/>
    </row>
    <row r="64" spans="1:8" x14ac:dyDescent="0.25">
      <c r="A64" t="s">
        <v>21</v>
      </c>
      <c r="B64" s="17"/>
      <c r="C64" s="17"/>
      <c r="D64" s="17"/>
      <c r="E64" s="17"/>
      <c r="F64" s="17"/>
      <c r="G64" s="17">
        <f>+$C63*+G58/($G58+$H58)</f>
        <v>233600.00000000003</v>
      </c>
      <c r="H64" s="17">
        <f>+$C63*+H58/($G58+$H58)</f>
        <v>233600.00000000003</v>
      </c>
    </row>
    <row r="65" spans="1:56" x14ac:dyDescent="0.25">
      <c r="A65" t="s">
        <v>27</v>
      </c>
      <c r="G65" s="28">
        <f>+G64/(G58*G56*365/100)</f>
        <v>3.9516845629610162</v>
      </c>
      <c r="H65" s="3">
        <f>+H64/(H58*H56*365/100)</f>
        <v>3.5711959672479638</v>
      </c>
    </row>
    <row r="66" spans="1:56" x14ac:dyDescent="0.25">
      <c r="A66" t="s">
        <v>51</v>
      </c>
      <c r="G66" s="3">
        <f>MIN(4,HLOOKUP(G65+1/12,$I$75:$BD$75,1))</f>
        <v>4</v>
      </c>
      <c r="H66" s="3">
        <f>MIN(4,HLOOKUP(H65+1/12,$I$75:$BD$75,1))</f>
        <v>3.5833333333333335</v>
      </c>
      <c r="I66" t="s">
        <v>43</v>
      </c>
    </row>
    <row r="67" spans="1:56" x14ac:dyDescent="0.25">
      <c r="A67" t="s">
        <v>28</v>
      </c>
      <c r="G67" s="3">
        <f>MAX($B60:$C60)</f>
        <v>3</v>
      </c>
      <c r="H67" s="3">
        <f>MAX($B60:$C60)</f>
        <v>3</v>
      </c>
    </row>
    <row r="68" spans="1:56" ht="60" x14ac:dyDescent="0.25">
      <c r="A68" s="8" t="s">
        <v>29</v>
      </c>
      <c r="G68" s="5">
        <f>MAX(G58*G56*G66*365/100,G58*G56*G67*365/100)</f>
        <v>236456.12019696474</v>
      </c>
      <c r="H68" s="5">
        <f>MAX(H58*H56*H66*365/100,H58*H56*H67*365/100)</f>
        <v>234393.93254908029</v>
      </c>
    </row>
    <row r="69" spans="1:56" x14ac:dyDescent="0.25">
      <c r="A69" s="22" t="s">
        <v>36</v>
      </c>
      <c r="B69" s="22"/>
      <c r="C69" s="22"/>
      <c r="D69" s="22"/>
      <c r="E69" s="22"/>
      <c r="F69" s="22"/>
      <c r="G69" s="22">
        <f>+G68-G64</f>
        <v>2856.1201969647082</v>
      </c>
      <c r="H69" s="22">
        <f>+H68-H64</f>
        <v>793.93254908025847</v>
      </c>
      <c r="I69" s="18"/>
    </row>
    <row r="71" spans="1:56" x14ac:dyDescent="0.25">
      <c r="G71" s="18"/>
      <c r="H71" s="18"/>
    </row>
    <row r="72" spans="1:56" x14ac:dyDescent="0.25">
      <c r="G72" s="22"/>
      <c r="H72" s="22"/>
    </row>
    <row r="74" spans="1:56" x14ac:dyDescent="0.25">
      <c r="I74">
        <v>1</v>
      </c>
      <c r="J74">
        <v>2</v>
      </c>
      <c r="K74">
        <v>3</v>
      </c>
      <c r="L74">
        <v>4</v>
      </c>
      <c r="M74">
        <v>5</v>
      </c>
      <c r="N74">
        <v>6</v>
      </c>
      <c r="O74">
        <v>7</v>
      </c>
      <c r="P74">
        <v>8</v>
      </c>
      <c r="Q74">
        <v>9</v>
      </c>
      <c r="R74">
        <v>10</v>
      </c>
      <c r="S74">
        <v>11</v>
      </c>
      <c r="T74">
        <v>12</v>
      </c>
    </row>
    <row r="75" spans="1:56" x14ac:dyDescent="0.25">
      <c r="I75" s="27">
        <f>+I74/12</f>
        <v>8.3333333333333329E-2</v>
      </c>
      <c r="J75" s="27">
        <f t="shared" ref="J75:T75" si="0">+J74/12</f>
        <v>0.16666666666666666</v>
      </c>
      <c r="K75" s="27">
        <f t="shared" si="0"/>
        <v>0.25</v>
      </c>
      <c r="L75" s="27">
        <f t="shared" si="0"/>
        <v>0.33333333333333331</v>
      </c>
      <c r="M75" s="27">
        <f t="shared" si="0"/>
        <v>0.41666666666666669</v>
      </c>
      <c r="N75" s="27">
        <f t="shared" si="0"/>
        <v>0.5</v>
      </c>
      <c r="O75" s="27">
        <f t="shared" si="0"/>
        <v>0.58333333333333337</v>
      </c>
      <c r="P75" s="27">
        <f t="shared" si="0"/>
        <v>0.66666666666666663</v>
      </c>
      <c r="Q75" s="27">
        <f t="shared" si="0"/>
        <v>0.75</v>
      </c>
      <c r="R75" s="27">
        <f t="shared" si="0"/>
        <v>0.83333333333333337</v>
      </c>
      <c r="S75" s="27">
        <f t="shared" si="0"/>
        <v>0.91666666666666663</v>
      </c>
      <c r="T75" s="27">
        <f t="shared" si="0"/>
        <v>1</v>
      </c>
      <c r="U75" s="27">
        <f>+I75+1</f>
        <v>1.0833333333333333</v>
      </c>
      <c r="V75" s="27">
        <f t="shared" ref="V75:BB75" si="1">+J75+1</f>
        <v>1.1666666666666667</v>
      </c>
      <c r="W75" s="27">
        <f t="shared" si="1"/>
        <v>1.25</v>
      </c>
      <c r="X75" s="27">
        <f t="shared" si="1"/>
        <v>1.3333333333333333</v>
      </c>
      <c r="Y75" s="27">
        <f t="shared" si="1"/>
        <v>1.4166666666666667</v>
      </c>
      <c r="Z75" s="27">
        <f t="shared" si="1"/>
        <v>1.5</v>
      </c>
      <c r="AA75" s="27">
        <f t="shared" si="1"/>
        <v>1.5833333333333335</v>
      </c>
      <c r="AB75" s="27">
        <f t="shared" si="1"/>
        <v>1.6666666666666665</v>
      </c>
      <c r="AC75" s="27">
        <f t="shared" si="1"/>
        <v>1.75</v>
      </c>
      <c r="AD75" s="27">
        <f t="shared" si="1"/>
        <v>1.8333333333333335</v>
      </c>
      <c r="AE75" s="27">
        <f t="shared" si="1"/>
        <v>1.9166666666666665</v>
      </c>
      <c r="AF75" s="27">
        <f t="shared" si="1"/>
        <v>2</v>
      </c>
      <c r="AG75" s="27">
        <f t="shared" si="1"/>
        <v>2.083333333333333</v>
      </c>
      <c r="AH75" s="27">
        <f t="shared" si="1"/>
        <v>2.166666666666667</v>
      </c>
      <c r="AI75" s="27">
        <f t="shared" si="1"/>
        <v>2.25</v>
      </c>
      <c r="AJ75" s="27">
        <f t="shared" si="1"/>
        <v>2.333333333333333</v>
      </c>
      <c r="AK75" s="27">
        <f t="shared" si="1"/>
        <v>2.416666666666667</v>
      </c>
      <c r="AL75" s="27">
        <f t="shared" si="1"/>
        <v>2.5</v>
      </c>
      <c r="AM75" s="27">
        <f t="shared" si="1"/>
        <v>2.5833333333333335</v>
      </c>
      <c r="AN75" s="27">
        <f t="shared" si="1"/>
        <v>2.6666666666666665</v>
      </c>
      <c r="AO75" s="27">
        <f t="shared" si="1"/>
        <v>2.75</v>
      </c>
      <c r="AP75" s="27">
        <f t="shared" si="1"/>
        <v>2.8333333333333335</v>
      </c>
      <c r="AQ75" s="27">
        <f t="shared" si="1"/>
        <v>2.9166666666666665</v>
      </c>
      <c r="AR75" s="27">
        <f t="shared" si="1"/>
        <v>3</v>
      </c>
      <c r="AS75" s="27">
        <f t="shared" si="1"/>
        <v>3.083333333333333</v>
      </c>
      <c r="AT75" s="27">
        <f t="shared" si="1"/>
        <v>3.166666666666667</v>
      </c>
      <c r="AU75" s="27">
        <f t="shared" si="1"/>
        <v>3.25</v>
      </c>
      <c r="AV75" s="27">
        <f t="shared" si="1"/>
        <v>3.333333333333333</v>
      </c>
      <c r="AW75" s="27">
        <f t="shared" si="1"/>
        <v>3.416666666666667</v>
      </c>
      <c r="AX75" s="27">
        <f t="shared" si="1"/>
        <v>3.5</v>
      </c>
      <c r="AY75" s="27">
        <f t="shared" si="1"/>
        <v>3.5833333333333335</v>
      </c>
      <c r="AZ75" s="27">
        <f t="shared" si="1"/>
        <v>3.6666666666666665</v>
      </c>
      <c r="BA75" s="27">
        <f t="shared" si="1"/>
        <v>3.75</v>
      </c>
      <c r="BB75" s="27">
        <f t="shared" si="1"/>
        <v>3.8333333333333335</v>
      </c>
      <c r="BC75" s="27">
        <f t="shared" ref="BC75" si="2">+AQ75+1</f>
        <v>3.9166666666666665</v>
      </c>
      <c r="BD75" s="27">
        <f t="shared" ref="BD75" si="3">+AR75+1</f>
        <v>4</v>
      </c>
    </row>
  </sheetData>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6"/>
  <sheetViews>
    <sheetView tabSelected="1" workbookViewId="0">
      <selection activeCell="B5" sqref="B5:D5"/>
    </sheetView>
  </sheetViews>
  <sheetFormatPr defaultRowHeight="15" x14ac:dyDescent="0.25"/>
  <cols>
    <col min="2" max="2" width="12.42578125" customWidth="1"/>
    <col min="4" max="4" width="16.140625" customWidth="1"/>
  </cols>
  <sheetData>
    <row r="1" spans="1:4" x14ac:dyDescent="0.25">
      <c r="A1" t="s">
        <v>22</v>
      </c>
    </row>
    <row r="3" spans="1:4" x14ac:dyDescent="0.25">
      <c r="C3" t="s">
        <v>9</v>
      </c>
      <c r="D3" t="s">
        <v>10</v>
      </c>
    </row>
    <row r="4" spans="1:4" x14ac:dyDescent="0.25">
      <c r="B4" t="s">
        <v>13</v>
      </c>
      <c r="C4" s="6">
        <v>3.0854599974333201E-2</v>
      </c>
      <c r="D4" s="1">
        <v>19128874</v>
      </c>
    </row>
    <row r="5" spans="1:4" x14ac:dyDescent="0.25">
      <c r="B5" t="s">
        <v>14</v>
      </c>
      <c r="C5" s="6">
        <v>2.3894889587673041E-2</v>
      </c>
      <c r="D5" s="1">
        <v>7743399</v>
      </c>
    </row>
    <row r="6" spans="1:4" x14ac:dyDescent="0.25">
      <c r="B6" t="s">
        <v>15</v>
      </c>
      <c r="C6" s="6">
        <v>3.2611214228563112E-2</v>
      </c>
      <c r="D6" s="1">
        <v>4830571</v>
      </c>
    </row>
    <row r="7" spans="1:4" x14ac:dyDescent="0.25">
      <c r="B7" t="s">
        <v>16</v>
      </c>
      <c r="C7" s="6">
        <v>2.423374433374988E-2</v>
      </c>
      <c r="D7" s="1">
        <v>27391725</v>
      </c>
    </row>
    <row r="8" spans="1:4" x14ac:dyDescent="0.25">
      <c r="B8" t="s">
        <v>3</v>
      </c>
      <c r="C8" s="6">
        <v>2.1594166228033309E-2</v>
      </c>
      <c r="D8" s="1">
        <v>5584329</v>
      </c>
    </row>
    <row r="9" spans="1:4" x14ac:dyDescent="0.25">
      <c r="B9" t="s">
        <v>4</v>
      </c>
      <c r="C9" s="6">
        <v>2.2337334723171995E-2</v>
      </c>
      <c r="D9" s="1">
        <v>22229864</v>
      </c>
    </row>
    <row r="10" spans="1:4" x14ac:dyDescent="0.25">
      <c r="B10" t="s">
        <v>5</v>
      </c>
      <c r="C10" s="6">
        <v>2.803537062071813E-2</v>
      </c>
      <c r="D10" s="1">
        <v>30242930</v>
      </c>
    </row>
    <row r="11" spans="1:4" x14ac:dyDescent="0.25">
      <c r="B11" t="s">
        <v>6</v>
      </c>
      <c r="C11" s="6">
        <v>3.1568167629937478E-2</v>
      </c>
      <c r="D11" s="1">
        <v>14000883</v>
      </c>
    </row>
    <row r="12" spans="1:4" x14ac:dyDescent="0.25">
      <c r="B12" t="s">
        <v>7</v>
      </c>
      <c r="C12" s="6">
        <v>2.4750455766902914E-2</v>
      </c>
      <c r="D12" s="1">
        <v>2299463</v>
      </c>
    </row>
    <row r="13" spans="1:4" x14ac:dyDescent="0.25">
      <c r="B13" t="s">
        <v>8</v>
      </c>
      <c r="C13" s="6">
        <v>3.4415156949746346E-2</v>
      </c>
      <c r="D13" s="1">
        <v>40420636</v>
      </c>
    </row>
    <row r="14" spans="1:4" x14ac:dyDescent="0.25">
      <c r="B14" t="s">
        <v>17</v>
      </c>
      <c r="C14" s="6">
        <v>2.5304620381032192E-2</v>
      </c>
      <c r="D14" s="1">
        <v>22688355</v>
      </c>
    </row>
    <row r="15" spans="1:4" x14ac:dyDescent="0.25">
      <c r="B15" t="s">
        <v>18</v>
      </c>
      <c r="C15" s="6">
        <v>2.3988304985312743E-2</v>
      </c>
      <c r="D15" s="1">
        <v>4023357</v>
      </c>
    </row>
    <row r="16" spans="1:4" x14ac:dyDescent="0.25">
      <c r="B16" t="s">
        <v>19</v>
      </c>
      <c r="C16" s="6">
        <v>2.6567016220730055E-2</v>
      </c>
      <c r="D16" s="1">
        <v>50999376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One to One</vt:lpstr>
      <vt:lpstr>Many to One</vt:lpstr>
      <vt:lpstr>One to many</vt:lpstr>
      <vt:lpstr>SW LDZ</vt:lpstr>
    </vt:vector>
  </TitlesOfParts>
  <Company>Wales &amp; West Utilities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Pomroy</dc:creator>
  <cp:lastModifiedBy>Bob Fletcher</cp:lastModifiedBy>
  <cp:lastPrinted>2018-12-28T10:24:09Z</cp:lastPrinted>
  <dcterms:created xsi:type="dcterms:W3CDTF">2018-12-06T16:59:58Z</dcterms:created>
  <dcterms:modified xsi:type="dcterms:W3CDTF">2019-02-13T13:59:26Z</dcterms:modified>
</cp:coreProperties>
</file>