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360" windowHeight="10680" activeTab="1"/>
  </bookViews>
  <sheets>
    <sheet name="Adjustment" sheetId="1" r:id="rId1"/>
    <sheet name="Summary" sheetId="2" r:id="rId2"/>
    <sheet name="BEL" sheetId="3" r:id="rId3"/>
    <sheet name="EPL" sheetId="4" r:id="rId4"/>
    <sheet name="CEL" sheetId="5" r:id="rId5"/>
    <sheet name="HPL" sheetId="6" r:id="rId6"/>
  </sheets>
  <definedNames>
    <definedName name="_xlnm.Print_Area" localSheetId="2">'BEL'!$A$1:$G$64</definedName>
  </definedNames>
  <calcPr fullCalcOnLoad="1"/>
</workbook>
</file>

<file path=xl/comments3.xml><?xml version="1.0" encoding="utf-8"?>
<comments xmlns="http://schemas.openxmlformats.org/spreadsheetml/2006/main">
  <authors>
    <author>SmartestEnergy Limited</author>
  </authors>
  <commentList>
    <comment ref="D7" authorId="0">
      <text>
        <r>
          <rPr>
            <b/>
            <sz val="8"/>
            <rFont val="Tahoma"/>
            <family val="0"/>
          </rPr>
          <t xml:space="preserve"> TRANS STATEMENT IS 0.0161 FOR EXIT ZONE SW2 from 01/10/08. FROM 01/10/09 0.0169</t>
        </r>
      </text>
    </comment>
    <comment ref="C12" authorId="0">
      <text>
        <r>
          <rPr>
            <b/>
            <sz val="8"/>
            <rFont val="Tahoma"/>
            <family val="2"/>
          </rPr>
          <t>CHANGED FROM 0.0108 FROM 01 APRIL 2008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SmartestEnergy Limited</author>
  </authors>
  <commentList>
    <comment ref="D7" authorId="0">
      <text>
        <r>
          <rPr>
            <b/>
            <sz val="8"/>
            <rFont val="Tahoma"/>
            <family val="0"/>
          </rPr>
          <t>FROM 01/10/09 0.0242</t>
        </r>
      </text>
    </comment>
  </commentList>
</comments>
</file>

<file path=xl/comments5.xml><?xml version="1.0" encoding="utf-8"?>
<comments xmlns="http://schemas.openxmlformats.org/spreadsheetml/2006/main">
  <authors>
    <author>SmartestEnergy Limited</author>
  </authors>
  <commentList>
    <comment ref="D7" authorId="0">
      <text>
        <r>
          <rPr>
            <b/>
            <sz val="8"/>
            <rFont val="Tahoma"/>
            <family val="0"/>
          </rPr>
          <t>FROM 01/10/08.  AND 0.0205 FROM 01/10/09</t>
        </r>
      </text>
    </comment>
  </commentList>
</comments>
</file>

<file path=xl/comments6.xml><?xml version="1.0" encoding="utf-8"?>
<comments xmlns="http://schemas.openxmlformats.org/spreadsheetml/2006/main">
  <authors>
    <author>SmartestEnergy Limited</author>
  </authors>
  <commentList>
    <comment ref="D7" authorId="0">
      <text>
        <r>
          <rPr>
            <b/>
            <sz val="8"/>
            <rFont val="Tahoma"/>
            <family val="0"/>
          </rPr>
          <t>FROM 01/10/09 0.0174</t>
        </r>
      </text>
    </comment>
  </commentList>
</comments>
</file>

<file path=xl/sharedStrings.xml><?xml version="1.0" encoding="utf-8"?>
<sst xmlns="http://schemas.openxmlformats.org/spreadsheetml/2006/main" count="228" uniqueCount="55">
  <si>
    <t>AQ</t>
  </si>
  <si>
    <t>SOQ</t>
  </si>
  <si>
    <t>LDZ Commodity (p/kWh)</t>
  </si>
  <si>
    <t>NTS Commodity (p/kWh)</t>
  </si>
  <si>
    <t>Interruptible Charge</t>
  </si>
  <si>
    <t>NTS TO Exit Capacity</t>
  </si>
  <si>
    <t>LDZ Capacity</t>
  </si>
  <si>
    <t>Firm Charge</t>
  </si>
  <si>
    <t>Commodity Charge (p/kWh)</t>
  </si>
  <si>
    <t>Capacity Charge (p/pdkWh/d)</t>
  </si>
  <si>
    <t>Customer Capacity charge (p/pdkWh/d)</t>
  </si>
  <si>
    <t>CURRENT 2007/8</t>
  </si>
  <si>
    <t>SUM</t>
  </si>
  <si>
    <t>Annual Charge (£/pa)</t>
  </si>
  <si>
    <t>Charge Adjustment Factors</t>
  </si>
  <si>
    <t>DN</t>
  </si>
  <si>
    <t>Eastern</t>
  </si>
  <si>
    <t>London</t>
  </si>
  <si>
    <t xml:space="preserve">North West </t>
  </si>
  <si>
    <t>West Midlands</t>
  </si>
  <si>
    <t>Scotland</t>
  </si>
  <si>
    <t>Wales &amp; West</t>
  </si>
  <si>
    <t>Northern</t>
  </si>
  <si>
    <t>Commodity</t>
  </si>
  <si>
    <t>Capacity</t>
  </si>
  <si>
    <t>Southern</t>
  </si>
  <si>
    <t>BRISTOL ENERGY</t>
  </si>
  <si>
    <t>EXETER POWER ENERGY</t>
  </si>
  <si>
    <t>Therms</t>
  </si>
  <si>
    <t>kWh</t>
  </si>
  <si>
    <t>HEARTLANDS</t>
  </si>
  <si>
    <t>New Charges Oct 2008</t>
  </si>
  <si>
    <t>CROYDON</t>
  </si>
  <si>
    <t>At 47.37%</t>
  </si>
  <si>
    <t>Total Charge 2007</t>
  </si>
  <si>
    <t>Total Charge Oct 2008</t>
  </si>
  <si>
    <t>Total Charge 2011</t>
  </si>
  <si>
    <t>(Assumed AQ)</t>
  </si>
  <si>
    <t>(Assumed SOQ)</t>
  </si>
  <si>
    <t>New Charges 2011</t>
  </si>
  <si>
    <t>BEL</t>
  </si>
  <si>
    <t>HPL</t>
  </si>
  <si>
    <t>EPL</t>
  </si>
  <si>
    <t>CEL</t>
  </si>
  <si>
    <t>DN Commodity</t>
  </si>
  <si>
    <t>AQ Kwh</t>
  </si>
  <si>
    <t>SOQ Kwh</t>
  </si>
  <si>
    <t xml:space="preserve">Current Charges </t>
  </si>
  <si>
    <t>Oct 2008 Charges</t>
  </si>
  <si>
    <t>Total £/annum</t>
  </si>
  <si>
    <t>DN Capacity @47%</t>
  </si>
  <si>
    <t xml:space="preserve">Total </t>
  </si>
  <si>
    <t xml:space="preserve">Total £/annum </t>
  </si>
  <si>
    <t>Rolls-Royce UK Generator Sets Gas Transportation Costs</t>
  </si>
  <si>
    <t>Generator Set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</si>
</sst>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_(* #,##0.00_);_(* \(#,##0.00\);_(* &quot;-&quot;??_);_(@_)"/>
    <numFmt numFmtId="166" formatCode="&quot;£&quot;#,##0.00"/>
    <numFmt numFmtId="167" formatCode="_-* #,##0.0_-;\-* #,##0.0_-;_-* &quot;-&quot;??_-;_-@_-"/>
    <numFmt numFmtId="168" formatCode="_-* #,##0_-;\-* #,##0_-;_-* &quot;-&quot;??_-;_-@_-"/>
    <numFmt numFmtId="169" formatCode="0.000000"/>
    <numFmt numFmtId="170" formatCode="0.00000"/>
    <numFmt numFmtId="171" formatCode="0.000"/>
    <numFmt numFmtId="172" formatCode="_-* #,##0.0000_-;\-* #,##0.0000_-;_-* &quot;-&quot;????_-;_-@_-"/>
    <numFmt numFmtId="173" formatCode="_-&quot;£&quot;* #,##0.0000_-;\-&quot;£&quot;* #,##0.0000_-;_-&quot;£&quot;* &quot;-&quot;????_-;_-@_-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5" borderId="0" xfId="0" applyFont="1" applyFill="1" applyAlignment="1">
      <alignment horizontal="right"/>
    </xf>
    <xf numFmtId="0" fontId="1" fillId="25" borderId="10" xfId="0" applyFont="1" applyFill="1" applyBorder="1" applyAlignment="1">
      <alignment/>
    </xf>
    <xf numFmtId="164" fontId="1" fillId="25" borderId="0" xfId="42" applyNumberFormat="1" applyFont="1" applyFill="1" applyAlignment="1">
      <alignment horizontal="center"/>
    </xf>
    <xf numFmtId="44" fontId="1" fillId="0" borderId="0" xfId="42" applyNumberFormat="1" applyFont="1" applyAlignment="1">
      <alignment/>
    </xf>
    <xf numFmtId="44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26" borderId="11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2" xfId="0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26" borderId="14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164" fontId="0" fillId="26" borderId="15" xfId="0" applyNumberFormat="1" applyFill="1" applyBorder="1" applyAlignment="1">
      <alignment horizontal="center"/>
    </xf>
    <xf numFmtId="164" fontId="0" fillId="26" borderId="16" xfId="0" applyNumberFormat="1" applyFill="1" applyBorder="1" applyAlignment="1">
      <alignment horizontal="center"/>
    </xf>
    <xf numFmtId="164" fontId="0" fillId="26" borderId="17" xfId="0" applyNumberFormat="1" applyFill="1" applyBorder="1" applyAlignment="1">
      <alignment horizontal="center"/>
    </xf>
    <xf numFmtId="164" fontId="0" fillId="26" borderId="14" xfId="0" applyNumberFormat="1" applyFill="1" applyBorder="1" applyAlignment="1">
      <alignment horizontal="center"/>
    </xf>
    <xf numFmtId="164" fontId="0" fillId="26" borderId="18" xfId="0" applyNumberFormat="1" applyFill="1" applyBorder="1" applyAlignment="1">
      <alignment horizontal="center"/>
    </xf>
    <xf numFmtId="164" fontId="0" fillId="26" borderId="19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20" borderId="10" xfId="0" applyFill="1" applyBorder="1" applyAlignment="1">
      <alignment/>
    </xf>
    <xf numFmtId="168" fontId="0" fillId="0" borderId="20" xfId="42" applyNumberFormat="1" applyFill="1" applyBorder="1" applyAlignment="1">
      <alignment/>
    </xf>
    <xf numFmtId="168" fontId="0" fillId="0" borderId="21" xfId="42" applyNumberFormat="1" applyFill="1" applyBorder="1" applyAlignment="1">
      <alignment/>
    </xf>
    <xf numFmtId="9" fontId="0" fillId="0" borderId="0" xfId="59" applyAlignment="1">
      <alignment horizontal="center"/>
    </xf>
    <xf numFmtId="168" fontId="0" fillId="0" borderId="22" xfId="42" applyNumberFormat="1" applyFont="1" applyBorder="1" applyAlignment="1">
      <alignment/>
    </xf>
    <xf numFmtId="168" fontId="0" fillId="0" borderId="23" xfId="42" applyNumberFormat="1" applyFont="1" applyBorder="1" applyAlignment="1">
      <alignment/>
    </xf>
    <xf numFmtId="168" fontId="0" fillId="0" borderId="22" xfId="42" applyNumberFormat="1" applyBorder="1" applyAlignment="1">
      <alignment/>
    </xf>
    <xf numFmtId="168" fontId="0" fillId="0" borderId="23" xfId="42" applyNumberFormat="1" applyBorder="1" applyAlignment="1">
      <alignment/>
    </xf>
    <xf numFmtId="44" fontId="1" fillId="24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168" fontId="1" fillId="0" borderId="20" xfId="42" applyNumberFormat="1" applyFont="1" applyFill="1" applyBorder="1" applyAlignment="1">
      <alignment/>
    </xf>
    <xf numFmtId="168" fontId="1" fillId="0" borderId="21" xfId="42" applyNumberFormat="1" applyFont="1" applyFill="1" applyBorder="1" applyAlignment="1">
      <alignment/>
    </xf>
    <xf numFmtId="168" fontId="7" fillId="0" borderId="22" xfId="42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44" fontId="8" fillId="0" borderId="25" xfId="0" applyNumberFormat="1" applyFont="1" applyBorder="1" applyAlignment="1">
      <alignment horizontal="center"/>
    </xf>
    <xf numFmtId="44" fontId="1" fillId="24" borderId="26" xfId="0" applyNumberFormat="1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168" fontId="0" fillId="0" borderId="29" xfId="42" applyNumberFormat="1" applyFill="1" applyBorder="1" applyAlignment="1">
      <alignment/>
    </xf>
    <xf numFmtId="168" fontId="0" fillId="0" borderId="10" xfId="42" applyNumberFormat="1" applyFill="1" applyBorder="1" applyAlignment="1">
      <alignment/>
    </xf>
    <xf numFmtId="168" fontId="0" fillId="0" borderId="27" xfId="42" applyNumberFormat="1" applyFont="1" applyBorder="1" applyAlignment="1">
      <alignment/>
    </xf>
    <xf numFmtId="168" fontId="0" fillId="0" borderId="30" xfId="42" applyNumberFormat="1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 horizontal="center"/>
    </xf>
    <xf numFmtId="164" fontId="8" fillId="25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3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0" xfId="0" applyBorder="1" applyAlignment="1">
      <alignment horizontal="left"/>
    </xf>
    <xf numFmtId="0" fontId="1" fillId="0" borderId="31" xfId="0" applyFont="1" applyBorder="1" applyAlignment="1">
      <alignment horizontal="left"/>
    </xf>
    <xf numFmtId="3" fontId="1" fillId="0" borderId="3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22" borderId="30" xfId="0" applyFont="1" applyFill="1" applyBorder="1" applyAlignment="1">
      <alignment horizontal="center"/>
    </xf>
    <xf numFmtId="0" fontId="1" fillId="22" borderId="30" xfId="0" applyFon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/>
    </xf>
    <xf numFmtId="3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24.140625" style="0" bestFit="1" customWidth="1"/>
    <col min="3" max="3" width="12.7109375" style="0" customWidth="1"/>
    <col min="4" max="4" width="10.28125" style="0" customWidth="1"/>
  </cols>
  <sheetData>
    <row r="4" ht="12.75">
      <c r="B4" s="2" t="s">
        <v>14</v>
      </c>
    </row>
    <row r="5" ht="13.5" thickBot="1"/>
    <row r="6" spans="2:4" ht="13.5" thickBot="1">
      <c r="B6" s="21" t="s">
        <v>15</v>
      </c>
      <c r="C6" s="22" t="s">
        <v>23</v>
      </c>
      <c r="D6" s="23" t="s">
        <v>24</v>
      </c>
    </row>
    <row r="7" spans="2:4" ht="12.75">
      <c r="B7" s="18" t="s">
        <v>16</v>
      </c>
      <c r="C7" s="27">
        <v>0.0996</v>
      </c>
      <c r="D7" s="24">
        <v>1.8632</v>
      </c>
    </row>
    <row r="8" spans="2:4" ht="12.75">
      <c r="B8" s="19" t="s">
        <v>17</v>
      </c>
      <c r="C8" s="28">
        <v>0.1037</v>
      </c>
      <c r="D8" s="25">
        <v>1.8055</v>
      </c>
    </row>
    <row r="9" spans="2:4" ht="12.75">
      <c r="B9" s="19" t="s">
        <v>18</v>
      </c>
      <c r="C9" s="28">
        <v>0.0981</v>
      </c>
      <c r="D9" s="25">
        <v>1.8805</v>
      </c>
    </row>
    <row r="10" spans="2:4" ht="12.75">
      <c r="B10" s="19" t="s">
        <v>19</v>
      </c>
      <c r="C10" s="28">
        <v>0.1054</v>
      </c>
      <c r="D10" s="25">
        <v>1.7854</v>
      </c>
    </row>
    <row r="11" spans="2:4" ht="12.75">
      <c r="B11" s="19" t="s">
        <v>20</v>
      </c>
      <c r="C11" s="28">
        <v>0.093</v>
      </c>
      <c r="D11" s="25">
        <v>1.96</v>
      </c>
    </row>
    <row r="12" spans="2:4" ht="12.75">
      <c r="B12" s="19" t="s">
        <v>25</v>
      </c>
      <c r="C12" s="28">
        <v>0.106</v>
      </c>
      <c r="D12" s="25">
        <v>1.77</v>
      </c>
    </row>
    <row r="13" spans="2:4" ht="12.75">
      <c r="B13" s="19" t="s">
        <v>21</v>
      </c>
      <c r="C13" s="28">
        <v>0.106</v>
      </c>
      <c r="D13" s="25">
        <v>1.788</v>
      </c>
    </row>
    <row r="14" spans="2:4" ht="13.5" thickBot="1">
      <c r="B14" s="20" t="s">
        <v>22</v>
      </c>
      <c r="C14" s="29">
        <v>0.1003</v>
      </c>
      <c r="D14" s="26">
        <v>1.8692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2" max="2" width="25.8515625" style="0" customWidth="1"/>
    <col min="3" max="3" width="14.140625" style="0" bestFit="1" customWidth="1"/>
    <col min="4" max="4" width="14.140625" style="0" customWidth="1"/>
    <col min="5" max="5" width="14.140625" style="0" bestFit="1" customWidth="1"/>
    <col min="6" max="6" width="12.421875" style="0" bestFit="1" customWidth="1"/>
    <col min="7" max="7" width="12.28125" style="0" customWidth="1"/>
  </cols>
  <sheetData>
    <row r="1" ht="12.75">
      <c r="A1" s="2" t="s">
        <v>53</v>
      </c>
    </row>
    <row r="2" ht="12.75">
      <c r="A2" s="2"/>
    </row>
    <row r="3" ht="12.75">
      <c r="A3" s="2"/>
    </row>
    <row r="4" spans="3:6" ht="12.75">
      <c r="C4" s="74" t="s">
        <v>54</v>
      </c>
      <c r="D4" s="75"/>
      <c r="E4" s="75"/>
      <c r="F4" s="76"/>
    </row>
    <row r="5" spans="2:6" ht="12.75">
      <c r="B5" s="56"/>
      <c r="C5" s="57" t="s">
        <v>40</v>
      </c>
      <c r="D5" s="57" t="s">
        <v>42</v>
      </c>
      <c r="E5" s="57" t="s">
        <v>43</v>
      </c>
      <c r="F5" s="57" t="s">
        <v>41</v>
      </c>
    </row>
    <row r="6" spans="2:6" ht="12.75">
      <c r="B6" s="68" t="s">
        <v>45</v>
      </c>
      <c r="C6" s="61">
        <f>BEL!C3</f>
        <v>143604790</v>
      </c>
      <c r="D6" s="61">
        <f>EPL!C3</f>
        <v>143604790</v>
      </c>
      <c r="E6" s="61">
        <f>CEL!C3</f>
        <v>143604790</v>
      </c>
      <c r="F6" s="61">
        <f>HPL!C3</f>
        <v>287209580</v>
      </c>
    </row>
    <row r="7" spans="2:6" ht="12.75">
      <c r="B7" s="68" t="s">
        <v>46</v>
      </c>
      <c r="C7" s="61">
        <f>BEL!C4</f>
        <v>2297676.6399999997</v>
      </c>
      <c r="D7" s="61">
        <f>EPL!C4</f>
        <v>2297676.6399999997</v>
      </c>
      <c r="E7" s="61">
        <f>CEL!C4</f>
        <v>2297676.6399999997</v>
      </c>
      <c r="F7" s="61">
        <f>HPL!C4</f>
        <v>4595353.279999999</v>
      </c>
    </row>
    <row r="8" spans="2:6" ht="12.75">
      <c r="B8" s="62"/>
      <c r="C8" s="63"/>
      <c r="D8" s="63"/>
      <c r="E8" s="63"/>
      <c r="F8" s="63"/>
    </row>
    <row r="9" spans="2:7" ht="12.75">
      <c r="B9" s="69" t="s">
        <v>47</v>
      </c>
      <c r="C9" s="69" t="s">
        <v>40</v>
      </c>
      <c r="D9" s="69" t="s">
        <v>42</v>
      </c>
      <c r="E9" s="69" t="s">
        <v>43</v>
      </c>
      <c r="F9" s="69" t="s">
        <v>41</v>
      </c>
      <c r="G9" s="70" t="s">
        <v>51</v>
      </c>
    </row>
    <row r="10" spans="2:7" ht="13.5" thickBot="1">
      <c r="B10" s="64" t="s">
        <v>44</v>
      </c>
      <c r="C10" s="61">
        <f>BEL!E11</f>
        <v>64191.34113</v>
      </c>
      <c r="D10" s="61">
        <f>EPL!E11</f>
        <v>64191.34113</v>
      </c>
      <c r="E10" s="61">
        <f>CEL!E11</f>
        <v>67637.85609</v>
      </c>
      <c r="F10" s="61">
        <f>HPL!E11</f>
        <v>115458.25116</v>
      </c>
      <c r="G10" s="61">
        <f>SUM(C10:F10)</f>
        <v>311478.78951</v>
      </c>
    </row>
    <row r="11" spans="2:7" ht="13.5" thickTop="1">
      <c r="B11" s="65" t="s">
        <v>52</v>
      </c>
      <c r="C11" s="72">
        <f>SUM(C10:C10)</f>
        <v>64191.34113</v>
      </c>
      <c r="D11" s="66">
        <f>SUM(D10:D10)</f>
        <v>64191.34113</v>
      </c>
      <c r="E11" s="66">
        <f>SUM(E10:E10)</f>
        <v>67637.85609</v>
      </c>
      <c r="F11" s="66">
        <f>SUM(F10:F10)</f>
        <v>115458.25116</v>
      </c>
      <c r="G11" s="66">
        <f>SUM(C11:F11)</f>
        <v>311478.78951</v>
      </c>
    </row>
    <row r="12" spans="2:7" ht="12.75">
      <c r="B12" s="73"/>
      <c r="C12" s="67"/>
      <c r="D12" s="67"/>
      <c r="E12" s="67"/>
      <c r="F12" s="67"/>
      <c r="G12" s="60"/>
    </row>
    <row r="13" spans="3:7" ht="12.75">
      <c r="C13" s="60"/>
      <c r="D13" s="60"/>
      <c r="E13" s="60"/>
      <c r="F13" s="60"/>
      <c r="G13" s="60"/>
    </row>
    <row r="14" spans="2:7" ht="12.75">
      <c r="B14" s="71" t="s">
        <v>48</v>
      </c>
      <c r="G14" s="60"/>
    </row>
    <row r="15" spans="2:7" ht="12.75">
      <c r="B15" s="56" t="s">
        <v>44</v>
      </c>
      <c r="C15" s="61">
        <f>BEL!E32</f>
        <v>6804.282159779999</v>
      </c>
      <c r="D15" s="61">
        <f>EPL!E32</f>
        <v>6804.282159779999</v>
      </c>
      <c r="E15" s="61">
        <f>CEL!E32</f>
        <v>7169.61274554</v>
      </c>
      <c r="F15" s="61">
        <f>HPL!E32</f>
        <v>12169.299672264</v>
      </c>
      <c r="G15" s="61">
        <f>SUM(C15:F15)</f>
        <v>32947.476737364</v>
      </c>
    </row>
    <row r="16" spans="2:7" ht="13.5" thickBot="1">
      <c r="B16" s="56" t="s">
        <v>50</v>
      </c>
      <c r="C16" s="61">
        <f>BEL!E29*0.4737</f>
        <v>144904.822740333</v>
      </c>
      <c r="D16" s="61">
        <f>EPL!E29*0.4747</f>
        <v>145210.72272500757</v>
      </c>
      <c r="E16" s="61">
        <f>CEL!E29*0.4737</f>
        <v>150477.7184431705</v>
      </c>
      <c r="F16" s="61">
        <f>HPL!E29*0.4737</f>
        <v>265272.5368872573</v>
      </c>
      <c r="G16" s="61">
        <f>SUM(C16:F16)</f>
        <v>705865.8007957684</v>
      </c>
    </row>
    <row r="17" spans="2:7" ht="13.5" thickTop="1">
      <c r="B17" s="65" t="s">
        <v>49</v>
      </c>
      <c r="C17" s="66">
        <f>SUM(C15:C16)</f>
        <v>151709.10490011302</v>
      </c>
      <c r="D17" s="66">
        <f>SUM(D15:D16)</f>
        <v>152015.00488478757</v>
      </c>
      <c r="E17" s="66">
        <f>SUM(E15:E16)</f>
        <v>157647.33118871052</v>
      </c>
      <c r="F17" s="66">
        <f>SUM(F15:F16)</f>
        <v>277441.8365595213</v>
      </c>
      <c r="G17" s="66">
        <f>SUM(C17:F17)</f>
        <v>738813.2775331324</v>
      </c>
    </row>
    <row r="18" spans="3:6" ht="12.75">
      <c r="C18" s="60"/>
      <c r="D18" s="60"/>
      <c r="E18" s="60"/>
      <c r="F18" s="60"/>
    </row>
    <row r="19" spans="3:6" ht="12.75">
      <c r="C19" s="60"/>
      <c r="D19" s="60"/>
      <c r="E19" s="60"/>
      <c r="F19" s="60"/>
    </row>
    <row r="20" spans="3:6" ht="12.75">
      <c r="C20" s="60"/>
      <c r="D20" s="60"/>
      <c r="E20" s="60"/>
      <c r="F20" s="60"/>
    </row>
    <row r="21" spans="3:6" ht="12.75">
      <c r="C21" s="60"/>
      <c r="D21" s="60"/>
      <c r="E21" s="60"/>
      <c r="F21" s="60"/>
    </row>
    <row r="22" spans="3:6" ht="12.75">
      <c r="C22" s="60"/>
      <c r="D22" s="60"/>
      <c r="E22" s="60"/>
      <c r="F22" s="60"/>
    </row>
    <row r="23" spans="3:6" ht="12.75">
      <c r="C23" s="60"/>
      <c r="D23" s="60"/>
      <c r="E23" s="60"/>
      <c r="F23" s="60"/>
    </row>
    <row r="24" spans="3:6" ht="12.75">
      <c r="C24" s="60"/>
      <c r="D24" s="60"/>
      <c r="E24" s="60"/>
      <c r="F24" s="60"/>
    </row>
    <row r="25" spans="3:6" ht="12.75">
      <c r="C25" s="60"/>
      <c r="D25" s="60"/>
      <c r="E25" s="60"/>
      <c r="F25" s="60"/>
    </row>
    <row r="26" spans="3:6" ht="12.75">
      <c r="C26" s="60"/>
      <c r="D26" s="60"/>
      <c r="E26" s="60"/>
      <c r="F26" s="60"/>
    </row>
    <row r="27" spans="3:6" ht="12.75">
      <c r="C27" s="60"/>
      <c r="D27" s="60"/>
      <c r="E27" s="60"/>
      <c r="F27" s="60"/>
    </row>
    <row r="28" spans="3:6" ht="12.75">
      <c r="C28" s="60"/>
      <c r="D28" s="60"/>
      <c r="E28" s="60"/>
      <c r="F28" s="60"/>
    </row>
    <row r="29" spans="3:6" ht="12.75">
      <c r="C29" s="60"/>
      <c r="D29" s="60"/>
      <c r="E29" s="60"/>
      <c r="F29" s="60"/>
    </row>
    <row r="30" spans="3:6" ht="12.75">
      <c r="C30" s="60"/>
      <c r="D30" s="60"/>
      <c r="E30" s="60"/>
      <c r="F30" s="60"/>
    </row>
    <row r="31" spans="3:6" ht="12.75">
      <c r="C31" s="60"/>
      <c r="D31" s="60"/>
      <c r="E31" s="60"/>
      <c r="F31" s="60"/>
    </row>
    <row r="32" spans="3:6" ht="12.75">
      <c r="C32" s="60"/>
      <c r="D32" s="60"/>
      <c r="E32" s="60"/>
      <c r="F32" s="60"/>
    </row>
    <row r="33" spans="3:6" ht="12.75">
      <c r="C33" s="60"/>
      <c r="D33" s="60"/>
      <c r="E33" s="60"/>
      <c r="F33" s="60"/>
    </row>
    <row r="34" spans="3:6" ht="12.75">
      <c r="C34" s="60"/>
      <c r="D34" s="60"/>
      <c r="E34" s="60"/>
      <c r="F34" s="60"/>
    </row>
    <row r="35" spans="3:6" ht="12.75">
      <c r="C35" s="60"/>
      <c r="D35" s="60"/>
      <c r="E35" s="60"/>
      <c r="F35" s="60"/>
    </row>
    <row r="36" spans="3:6" ht="12.75">
      <c r="C36" s="60"/>
      <c r="D36" s="60"/>
      <c r="E36" s="60"/>
      <c r="F36" s="60"/>
    </row>
    <row r="37" spans="3:6" ht="12.75">
      <c r="C37" s="60"/>
      <c r="D37" s="60"/>
      <c r="E37" s="60"/>
      <c r="F37" s="60"/>
    </row>
    <row r="38" spans="3:6" ht="12.75">
      <c r="C38" s="60"/>
      <c r="D38" s="60"/>
      <c r="E38" s="60"/>
      <c r="F38" s="60"/>
    </row>
    <row r="39" spans="3:6" ht="12.75">
      <c r="C39" s="60"/>
      <c r="D39" s="60"/>
      <c r="E39" s="60"/>
      <c r="F39" s="60"/>
    </row>
    <row r="40" spans="3:6" ht="12.75">
      <c r="C40" s="60"/>
      <c r="D40" s="60"/>
      <c r="E40" s="60"/>
      <c r="F40" s="60"/>
    </row>
  </sheetData>
  <sheetProtection/>
  <mergeCells count="1"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PageLayoutView="0" workbookViewId="0" topLeftCell="A33">
      <selection activeCell="B54" sqref="B54"/>
    </sheetView>
  </sheetViews>
  <sheetFormatPr defaultColWidth="9.140625" defaultRowHeight="12.75"/>
  <cols>
    <col min="2" max="2" width="27.7109375" style="0" bestFit="1" customWidth="1"/>
    <col min="3" max="3" width="26.421875" style="0" bestFit="1" customWidth="1"/>
    <col min="4" max="4" width="26.00390625" style="0" bestFit="1" customWidth="1"/>
    <col min="5" max="5" width="20.421875" style="0" bestFit="1" customWidth="1"/>
    <col min="6" max="6" width="21.140625" style="0" bestFit="1" customWidth="1"/>
    <col min="7" max="7" width="6.8515625" style="0" customWidth="1"/>
  </cols>
  <sheetData>
    <row r="2" spans="2:4" ht="18.75" thickBot="1">
      <c r="B2" s="59" t="s">
        <v>26</v>
      </c>
      <c r="C2" s="4" t="s">
        <v>29</v>
      </c>
      <c r="D2" s="4" t="s">
        <v>28</v>
      </c>
    </row>
    <row r="3" spans="2:5" ht="12.75">
      <c r="B3" s="15" t="s">
        <v>0</v>
      </c>
      <c r="C3" s="44">
        <f>D3*29.3071</f>
        <v>143604790</v>
      </c>
      <c r="D3" s="46">
        <f>9800000/2</f>
        <v>4900000</v>
      </c>
      <c r="E3" t="s">
        <v>37</v>
      </c>
    </row>
    <row r="4" spans="2:5" ht="13.5" thickBot="1">
      <c r="B4" s="16" t="s">
        <v>1</v>
      </c>
      <c r="C4" s="45">
        <f>D4*29.3071</f>
        <v>2297676.6399999997</v>
      </c>
      <c r="D4" s="40">
        <f>156800/2</f>
        <v>78400</v>
      </c>
      <c r="E4" t="s">
        <v>38</v>
      </c>
    </row>
    <row r="5" ht="12.75">
      <c r="B5" s="3"/>
    </row>
    <row r="6" spans="2:6" ht="16.5" thickBot="1">
      <c r="B6" s="42" t="s">
        <v>11</v>
      </c>
      <c r="C6" s="11" t="s">
        <v>8</v>
      </c>
      <c r="D6" s="8" t="s">
        <v>9</v>
      </c>
      <c r="E6" s="9" t="s">
        <v>13</v>
      </c>
      <c r="F6" s="17" t="s">
        <v>12</v>
      </c>
    </row>
    <row r="7" spans="2:5" ht="12.75">
      <c r="B7" s="5" t="s">
        <v>5</v>
      </c>
      <c r="C7" s="6"/>
      <c r="D7" s="31">
        <v>0.0161</v>
      </c>
      <c r="E7" s="13">
        <f>D7*$C$4*365/100</f>
        <v>135022.96774959998</v>
      </c>
    </row>
    <row r="8" spans="2:7" ht="12.75">
      <c r="B8" s="5" t="s">
        <v>6</v>
      </c>
      <c r="C8" s="6"/>
      <c r="D8" s="31">
        <v>0.0204</v>
      </c>
      <c r="E8" s="13">
        <f>D8*$C$4*365/100</f>
        <v>171085.00261439997</v>
      </c>
      <c r="F8" s="41">
        <f>SUM(E7:E8)</f>
        <v>306107.97036399995</v>
      </c>
      <c r="G8" s="36">
        <f>F8/F13</f>
        <v>0.7872654749593736</v>
      </c>
    </row>
    <row r="9" spans="3:7" ht="12.75">
      <c r="C9" s="6"/>
      <c r="D9" s="31"/>
      <c r="E9" s="2"/>
      <c r="G9" s="4"/>
    </row>
    <row r="10" spans="3:7" ht="12.75">
      <c r="C10" s="6"/>
      <c r="D10" s="6"/>
      <c r="E10" s="2"/>
      <c r="G10" s="4"/>
    </row>
    <row r="11" spans="2:7" ht="12.75">
      <c r="B11" s="10" t="s">
        <v>2</v>
      </c>
      <c r="C11" s="12">
        <v>0.0447</v>
      </c>
      <c r="D11" s="6"/>
      <c r="E11" s="13">
        <f>C11*C3/100</f>
        <v>64191.34113</v>
      </c>
      <c r="G11" s="4"/>
    </row>
    <row r="12" spans="2:7" ht="12.75">
      <c r="B12" s="10" t="s">
        <v>3</v>
      </c>
      <c r="C12" s="58">
        <v>0.0129</v>
      </c>
      <c r="D12" s="6"/>
      <c r="E12" s="13">
        <f>C12*C3/100</f>
        <v>18525.01791</v>
      </c>
      <c r="F12" s="14">
        <f>SUM(E11:E12)</f>
        <v>82716.35904</v>
      </c>
      <c r="G12" s="36">
        <f>F12/F13</f>
        <v>0.2127345250406264</v>
      </c>
    </row>
    <row r="13" spans="2:6" ht="12.75">
      <c r="B13" s="3"/>
      <c r="C13" s="6"/>
      <c r="D13" s="6"/>
      <c r="E13" s="14"/>
      <c r="F13" s="1">
        <f>SUM(F8:F12)</f>
        <v>388824.32940399996</v>
      </c>
    </row>
    <row r="14" spans="2:5" ht="12.75">
      <c r="B14" s="3" t="s">
        <v>10</v>
      </c>
      <c r="C14" s="6"/>
      <c r="D14" s="6">
        <v>0.0023</v>
      </c>
      <c r="E14" s="13">
        <f>D14*(C4)*365/100</f>
        <v>19288.995392799996</v>
      </c>
    </row>
    <row r="15" spans="2:5" ht="12.75">
      <c r="B15" s="3"/>
      <c r="C15" s="6"/>
      <c r="D15" s="6"/>
      <c r="E15" s="14"/>
    </row>
    <row r="16" spans="3:5" ht="12.75">
      <c r="C16" s="6"/>
      <c r="D16" s="6"/>
      <c r="E16" s="2"/>
    </row>
    <row r="17" spans="3:5" ht="13.5" thickBot="1">
      <c r="C17" s="6"/>
      <c r="D17" s="6"/>
      <c r="E17" s="2"/>
    </row>
    <row r="18" spans="3:6" ht="12.75">
      <c r="C18" s="6"/>
      <c r="D18" s="6"/>
      <c r="E18" s="2"/>
      <c r="F18" s="47" t="s">
        <v>34</v>
      </c>
    </row>
    <row r="19" spans="2:6" ht="12.75">
      <c r="B19" s="3" t="s">
        <v>7</v>
      </c>
      <c r="C19" s="7">
        <f>SUM(C7:C18)</f>
        <v>0.0576</v>
      </c>
      <c r="D19" s="7">
        <f>SUM(D7:D18)</f>
        <v>0.0388</v>
      </c>
      <c r="E19" s="14">
        <f>SUM(E7:E14)</f>
        <v>408113.3247968</v>
      </c>
      <c r="F19" s="51"/>
    </row>
    <row r="20" spans="2:6" ht="13.5" thickBot="1">
      <c r="B20" s="3" t="s">
        <v>4</v>
      </c>
      <c r="C20" s="6"/>
      <c r="D20" s="6">
        <f>D14</f>
        <v>0.0023</v>
      </c>
      <c r="E20" s="14">
        <f>SUM(E11:E14)</f>
        <v>102005.3544328</v>
      </c>
      <c r="F20" s="48">
        <f>E20</f>
        <v>102005.3544328</v>
      </c>
    </row>
    <row r="22" spans="1:7" ht="13.5" thickBot="1">
      <c r="A22" s="33"/>
      <c r="B22" s="33"/>
      <c r="C22" s="33"/>
      <c r="D22" s="33"/>
      <c r="E22" s="33"/>
      <c r="F22" s="33"/>
      <c r="G22" s="33"/>
    </row>
    <row r="23" ht="13.5" thickBot="1"/>
    <row r="24" spans="2:4" ht="12.75">
      <c r="B24" s="15" t="s">
        <v>0</v>
      </c>
      <c r="C24" s="52">
        <f>D24*29.3071</f>
        <v>143604790</v>
      </c>
      <c r="D24" s="54">
        <f>D3</f>
        <v>4900000</v>
      </c>
    </row>
    <row r="25" spans="2:4" ht="13.5" thickBot="1">
      <c r="B25" s="16" t="s">
        <v>1</v>
      </c>
      <c r="C25" s="53">
        <f>D25*29.3071</f>
        <v>2297676.6399999997</v>
      </c>
      <c r="D25" s="55">
        <f>D4</f>
        <v>78400</v>
      </c>
    </row>
    <row r="26" ht="12.75">
      <c r="B26" s="3"/>
    </row>
    <row r="27" spans="2:5" ht="16.5" thickBot="1">
      <c r="B27" s="43" t="s">
        <v>31</v>
      </c>
      <c r="C27" s="11" t="s">
        <v>8</v>
      </c>
      <c r="D27" s="8" t="s">
        <v>9</v>
      </c>
      <c r="E27" s="9" t="s">
        <v>13</v>
      </c>
    </row>
    <row r="28" spans="2:6" ht="12.75">
      <c r="B28" s="5" t="s">
        <v>5</v>
      </c>
      <c r="C28" s="6"/>
      <c r="D28" s="32">
        <v>0</v>
      </c>
      <c r="E28" s="13">
        <f>D28*$C$25*365/100</f>
        <v>0</v>
      </c>
      <c r="F28" s="50" t="s">
        <v>33</v>
      </c>
    </row>
    <row r="29" spans="2:7" ht="12.75">
      <c r="B29" s="5" t="s">
        <v>6</v>
      </c>
      <c r="C29" s="6"/>
      <c r="D29" s="32">
        <f>$D$8*Adjustment!$D$13</f>
        <v>0.036475200000000006</v>
      </c>
      <c r="E29" s="13">
        <f>D29*$C$25*365/100</f>
        <v>305899.9846745472</v>
      </c>
      <c r="F29" s="49">
        <f>E29*0.4737</f>
        <v>144904.822740333</v>
      </c>
      <c r="G29" s="36">
        <f>F29/F34</f>
        <v>0.8512090311174954</v>
      </c>
    </row>
    <row r="30" spans="3:7" ht="12.75">
      <c r="C30" s="6"/>
      <c r="D30" s="6"/>
      <c r="E30" s="2"/>
      <c r="G30" s="4"/>
    </row>
    <row r="31" spans="3:7" ht="12.75">
      <c r="C31" s="6"/>
      <c r="D31" s="6"/>
      <c r="E31" s="2"/>
      <c r="G31" s="4"/>
    </row>
    <row r="32" spans="2:7" ht="12.75">
      <c r="B32" s="10" t="s">
        <v>2</v>
      </c>
      <c r="C32" s="12">
        <f>$C$11*Adjustment!$C$13</f>
        <v>0.0047382</v>
      </c>
      <c r="D32" s="6"/>
      <c r="E32" s="13">
        <f>C32*C24/100</f>
        <v>6804.282159779999</v>
      </c>
      <c r="G32" s="4"/>
    </row>
    <row r="33" spans="2:7" ht="12.75">
      <c r="B33" s="10" t="s">
        <v>3</v>
      </c>
      <c r="C33" s="12">
        <v>0.0129</v>
      </c>
      <c r="D33" s="6"/>
      <c r="E33" s="13">
        <f>C33*C24/100</f>
        <v>18525.01791</v>
      </c>
      <c r="F33" s="14">
        <f>SUM(E32:E33)</f>
        <v>25329.300069779998</v>
      </c>
      <c r="G33" s="36">
        <f>F33/F34</f>
        <v>0.14879096888250465</v>
      </c>
    </row>
    <row r="34" spans="2:6" ht="12.75">
      <c r="B34" s="3"/>
      <c r="C34" s="6"/>
      <c r="D34" s="6"/>
      <c r="E34" s="14"/>
      <c r="F34" s="1">
        <f>SUM(F29:F33)</f>
        <v>170234.122810113</v>
      </c>
    </row>
    <row r="35" spans="2:5" ht="12.75">
      <c r="B35" s="3" t="s">
        <v>10</v>
      </c>
      <c r="C35" s="6"/>
      <c r="D35" s="6">
        <f>D14</f>
        <v>0.0023</v>
      </c>
      <c r="E35" s="13">
        <f>D35*(C25)*365/100</f>
        <v>19288.995392799996</v>
      </c>
    </row>
    <row r="36" spans="2:5" ht="12.75">
      <c r="B36" s="3"/>
      <c r="C36" s="6"/>
      <c r="D36" s="6"/>
      <c r="E36" s="14"/>
    </row>
    <row r="37" spans="3:5" ht="12.75">
      <c r="C37" s="6"/>
      <c r="D37" s="6"/>
      <c r="E37" s="2"/>
    </row>
    <row r="38" spans="3:5" ht="13.5" thickBot="1">
      <c r="C38" s="6"/>
      <c r="D38" s="6"/>
      <c r="E38" s="2"/>
    </row>
    <row r="39" spans="3:6" ht="12.75">
      <c r="C39" s="6"/>
      <c r="D39" s="6"/>
      <c r="E39" s="2"/>
      <c r="F39" s="47" t="s">
        <v>35</v>
      </c>
    </row>
    <row r="40" spans="2:6" ht="12.75">
      <c r="B40" s="3" t="s">
        <v>7</v>
      </c>
      <c r="C40" s="7">
        <f>SUM(C28:C39)</f>
        <v>0.0176382</v>
      </c>
      <c r="D40" s="7">
        <f>SUM(D28:D39)</f>
        <v>0.03877520000000001</v>
      </c>
      <c r="E40" s="14">
        <f>SUM(E28:E35)</f>
        <v>350518.2801371272</v>
      </c>
      <c r="F40" s="51"/>
    </row>
    <row r="41" spans="2:6" ht="13.5" thickBot="1">
      <c r="B41" s="3" t="s">
        <v>4</v>
      </c>
      <c r="C41" s="6"/>
      <c r="D41" s="6">
        <f>D35</f>
        <v>0.0023</v>
      </c>
      <c r="E41" s="14">
        <f>SUM(E32:E35)</f>
        <v>44618.29546257999</v>
      </c>
      <c r="F41" s="48">
        <f>E41+F29</f>
        <v>189523.118202913</v>
      </c>
    </row>
    <row r="43" spans="1:7" ht="13.5" thickBot="1">
      <c r="A43" s="33"/>
      <c r="B43" s="33"/>
      <c r="C43" s="33"/>
      <c r="D43" s="33"/>
      <c r="E43" s="33"/>
      <c r="F43" s="33"/>
      <c r="G43" s="33"/>
    </row>
    <row r="45" ht="18.75" thickBot="1">
      <c r="B45" s="30"/>
    </row>
    <row r="46" spans="2:4" ht="12.75">
      <c r="B46" s="15" t="s">
        <v>0</v>
      </c>
      <c r="C46" s="52">
        <f>D46*29.3071</f>
        <v>143604790</v>
      </c>
      <c r="D46" s="54">
        <f>D3</f>
        <v>4900000</v>
      </c>
    </row>
    <row r="47" spans="2:4" ht="13.5" thickBot="1">
      <c r="B47" s="16" t="s">
        <v>1</v>
      </c>
      <c r="C47" s="53">
        <f>D47*29.3071</f>
        <v>2297676.6399999997</v>
      </c>
      <c r="D47" s="55">
        <f>D4</f>
        <v>78400</v>
      </c>
    </row>
    <row r="48" ht="12.75">
      <c r="B48" s="3"/>
    </row>
    <row r="49" spans="2:5" ht="16.5" thickBot="1">
      <c r="B49" s="43" t="s">
        <v>39</v>
      </c>
      <c r="C49" s="11" t="s">
        <v>8</v>
      </c>
      <c r="D49" s="8" t="s">
        <v>9</v>
      </c>
      <c r="E49" s="9" t="s">
        <v>13</v>
      </c>
    </row>
    <row r="50" spans="2:5" ht="12.75">
      <c r="B50" s="5" t="s">
        <v>5</v>
      </c>
      <c r="C50" s="6"/>
      <c r="D50" s="32">
        <v>0.0161</v>
      </c>
      <c r="E50" s="13">
        <f>D50*C47*365/100</f>
        <v>135022.96774959998</v>
      </c>
    </row>
    <row r="51" spans="2:7" ht="12.75">
      <c r="B51" s="5" t="s">
        <v>6</v>
      </c>
      <c r="C51" s="6"/>
      <c r="D51" s="32">
        <f>$D$8*Adjustment!$D$13</f>
        <v>0.036475200000000006</v>
      </c>
      <c r="E51" s="13">
        <f>D51*$C$47*365/100</f>
        <v>305899.9846745472</v>
      </c>
      <c r="F51" s="41">
        <f>SUM(E50:E51)</f>
        <v>440922.95242414717</v>
      </c>
      <c r="G51" s="36">
        <f>F51/F56</f>
        <v>0.9456746858931049</v>
      </c>
    </row>
    <row r="52" spans="3:7" ht="12.75">
      <c r="C52" s="6"/>
      <c r="D52" s="6"/>
      <c r="E52" s="2"/>
      <c r="G52" s="4"/>
    </row>
    <row r="53" spans="3:7" ht="12.75">
      <c r="C53" s="6"/>
      <c r="D53" s="6"/>
      <c r="E53" s="2"/>
      <c r="G53" s="4"/>
    </row>
    <row r="54" spans="2:7" ht="12.75">
      <c r="B54" s="10" t="s">
        <v>2</v>
      </c>
      <c r="C54" s="12">
        <f>$C$11*Adjustment!$C$13</f>
        <v>0.0047382</v>
      </c>
      <c r="D54" s="6"/>
      <c r="E54" s="13">
        <f>C54*C46/100</f>
        <v>6804.282159779999</v>
      </c>
      <c r="G54" s="4"/>
    </row>
    <row r="55" spans="2:7" ht="12.75">
      <c r="B55" s="10" t="s">
        <v>3</v>
      </c>
      <c r="C55" s="12">
        <f>$C$12</f>
        <v>0.0129</v>
      </c>
      <c r="D55" s="6"/>
      <c r="E55" s="13">
        <f>C55*C46/100</f>
        <v>18525.01791</v>
      </c>
      <c r="F55" s="14">
        <f>SUM(E54:E55)</f>
        <v>25329.300069779998</v>
      </c>
      <c r="G55" s="36">
        <f>F55/F56</f>
        <v>0.05432531410689519</v>
      </c>
    </row>
    <row r="56" spans="2:6" ht="12.75">
      <c r="B56" s="3"/>
      <c r="C56" s="6"/>
      <c r="D56" s="6"/>
      <c r="E56" s="14"/>
      <c r="F56" s="1">
        <f>SUM(F51:F55)</f>
        <v>466252.25249392714</v>
      </c>
    </row>
    <row r="57" spans="2:5" ht="12.75">
      <c r="B57" s="3" t="s">
        <v>10</v>
      </c>
      <c r="C57" s="6"/>
      <c r="D57" s="6">
        <f>D35</f>
        <v>0.0023</v>
      </c>
      <c r="E57" s="13">
        <f>D57*(C47)*365/100</f>
        <v>19288.995392799996</v>
      </c>
    </row>
    <row r="58" spans="2:5" ht="12.75">
      <c r="B58" s="3"/>
      <c r="C58" s="6"/>
      <c r="D58" s="6"/>
      <c r="E58" s="14"/>
    </row>
    <row r="59" spans="3:5" ht="12.75">
      <c r="C59" s="6"/>
      <c r="D59" s="6"/>
      <c r="E59" s="2"/>
    </row>
    <row r="60" spans="3:5" ht="13.5" thickBot="1">
      <c r="C60" s="6"/>
      <c r="D60" s="6"/>
      <c r="E60" s="2"/>
    </row>
    <row r="61" spans="3:6" ht="12.75">
      <c r="C61" s="6"/>
      <c r="D61" s="6"/>
      <c r="E61" s="2"/>
      <c r="F61" s="47" t="s">
        <v>36</v>
      </c>
    </row>
    <row r="62" spans="2:6" ht="12.75">
      <c r="B62" s="3" t="s">
        <v>7</v>
      </c>
      <c r="C62" s="7">
        <f>SUM(C50:C61)</f>
        <v>0.0176382</v>
      </c>
      <c r="D62" s="7">
        <f>SUM(D50:D61)</f>
        <v>0.0548752</v>
      </c>
      <c r="E62" s="14">
        <f>SUM(E50:E57)</f>
        <v>485541.24788672716</v>
      </c>
      <c r="F62" s="51"/>
    </row>
    <row r="63" spans="2:6" ht="13.5" thickBot="1">
      <c r="B63" s="3" t="s">
        <v>4</v>
      </c>
      <c r="C63" s="6"/>
      <c r="D63" s="6">
        <f>D57</f>
        <v>0.0023</v>
      </c>
      <c r="E63" s="14">
        <f>SUM(E54:E57)</f>
        <v>44618.29546257999</v>
      </c>
      <c r="F63" s="48">
        <f>E63+F51</f>
        <v>485541.24788672716</v>
      </c>
    </row>
  </sheetData>
  <sheetProtection/>
  <printOptions/>
  <pageMargins left="0.24" right="0.23" top="0.32" bottom="0.31" header="0.19" footer="0.17"/>
  <pageSetup fitToHeight="1" fitToWidth="1" horizontalDpi="600" verticalDpi="600" orientation="portrait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PageLayoutView="0" workbookViewId="0" topLeftCell="A46">
      <selection activeCell="D51" sqref="D51"/>
    </sheetView>
  </sheetViews>
  <sheetFormatPr defaultColWidth="9.140625" defaultRowHeight="12.75"/>
  <cols>
    <col min="2" max="2" width="27.7109375" style="0" bestFit="1" customWidth="1"/>
    <col min="3" max="3" width="26.421875" style="0" bestFit="1" customWidth="1"/>
    <col min="4" max="4" width="26.00390625" style="0" bestFit="1" customWidth="1"/>
    <col min="5" max="5" width="20.421875" style="0" bestFit="1" customWidth="1"/>
    <col min="6" max="6" width="21.28125" style="0" customWidth="1"/>
    <col min="7" max="7" width="10.7109375" style="0" customWidth="1"/>
  </cols>
  <sheetData>
    <row r="2" spans="1:4" ht="18.75" thickBot="1">
      <c r="A2" s="59" t="s">
        <v>27</v>
      </c>
      <c r="B2" s="30"/>
      <c r="C2" s="4" t="s">
        <v>29</v>
      </c>
      <c r="D2" s="4" t="s">
        <v>28</v>
      </c>
    </row>
    <row r="3" spans="2:5" ht="12.75">
      <c r="B3" s="15" t="s">
        <v>0</v>
      </c>
      <c r="C3" s="34">
        <f>D3*29.3071</f>
        <v>143604790</v>
      </c>
      <c r="D3" s="46">
        <f>9800000/2</f>
        <v>4900000</v>
      </c>
      <c r="E3" t="s">
        <v>37</v>
      </c>
    </row>
    <row r="4" spans="2:5" ht="13.5" thickBot="1">
      <c r="B4" s="16" t="s">
        <v>1</v>
      </c>
      <c r="C4" s="35">
        <f>D4*29.3071</f>
        <v>2297676.6399999997</v>
      </c>
      <c r="D4" s="40">
        <f>156800/2</f>
        <v>78400</v>
      </c>
      <c r="E4" t="s">
        <v>38</v>
      </c>
    </row>
    <row r="5" ht="12.75">
      <c r="B5" s="3"/>
    </row>
    <row r="6" spans="2:6" ht="16.5" thickBot="1">
      <c r="B6" s="43" t="s">
        <v>11</v>
      </c>
      <c r="C6" s="11" t="s">
        <v>8</v>
      </c>
      <c r="D6" s="8" t="s">
        <v>9</v>
      </c>
      <c r="E6" s="9" t="s">
        <v>13</v>
      </c>
      <c r="F6" s="17" t="s">
        <v>12</v>
      </c>
    </row>
    <row r="7" spans="2:5" ht="12.75">
      <c r="B7" s="5" t="s">
        <v>5</v>
      </c>
      <c r="C7" s="6"/>
      <c r="D7" s="31">
        <v>0.0248</v>
      </c>
      <c r="E7" s="13">
        <f>D7*$C$4*365/100</f>
        <v>207985.68945279997</v>
      </c>
    </row>
    <row r="8" spans="2:7" ht="12.75">
      <c r="B8" s="5" t="s">
        <v>6</v>
      </c>
      <c r="C8" s="6"/>
      <c r="D8" s="31">
        <v>0.0204</v>
      </c>
      <c r="E8" s="13">
        <f>D8*$C$4*365/100</f>
        <v>171085.00261439997</v>
      </c>
      <c r="F8" s="41">
        <f>SUM(E7:E8)</f>
        <v>379070.69206719997</v>
      </c>
      <c r="G8" s="36">
        <f>F8/F13</f>
        <v>0.8208776992735596</v>
      </c>
    </row>
    <row r="9" spans="3:7" ht="12.75">
      <c r="C9" s="6"/>
      <c r="D9" s="31"/>
      <c r="E9" s="2"/>
      <c r="G9" s="4"/>
    </row>
    <row r="10" spans="3:7" ht="12.75">
      <c r="C10" s="6"/>
      <c r="D10" s="6"/>
      <c r="E10" s="2"/>
      <c r="G10" s="4"/>
    </row>
    <row r="11" spans="2:7" ht="12.75">
      <c r="B11" s="10" t="s">
        <v>2</v>
      </c>
      <c r="C11" s="12">
        <v>0.0447</v>
      </c>
      <c r="D11" s="6"/>
      <c r="E11" s="13">
        <f>C11*C3/100</f>
        <v>64191.34113</v>
      </c>
      <c r="G11" s="4"/>
    </row>
    <row r="12" spans="2:7" ht="12.75">
      <c r="B12" s="10" t="s">
        <v>3</v>
      </c>
      <c r="C12" s="58">
        <v>0.0129</v>
      </c>
      <c r="D12" s="6"/>
      <c r="E12" s="13">
        <f>C12*C3/100</f>
        <v>18525.01791</v>
      </c>
      <c r="F12" s="14">
        <f>SUM(E11:E12)</f>
        <v>82716.35904</v>
      </c>
      <c r="G12" s="36">
        <f>F12/F13</f>
        <v>0.17912230072644045</v>
      </c>
    </row>
    <row r="13" spans="2:6" ht="12.75">
      <c r="B13" s="3"/>
      <c r="C13" s="6"/>
      <c r="D13" s="6"/>
      <c r="E13" s="14"/>
      <c r="F13" s="1">
        <f>SUM(F8:F12)</f>
        <v>461787.0511072</v>
      </c>
    </row>
    <row r="14" spans="2:5" ht="12.75">
      <c r="B14" s="3" t="s">
        <v>10</v>
      </c>
      <c r="C14" s="6"/>
      <c r="D14" s="6">
        <v>0.0023</v>
      </c>
      <c r="E14" s="13">
        <f>D14*(C4)*365/100</f>
        <v>19288.995392799996</v>
      </c>
    </row>
    <row r="15" spans="2:5" ht="12.75">
      <c r="B15" s="3"/>
      <c r="C15" s="6"/>
      <c r="D15" s="6"/>
      <c r="E15" s="14"/>
    </row>
    <row r="16" spans="3:5" ht="12.75">
      <c r="C16" s="6"/>
      <c r="D16" s="6"/>
      <c r="E16" s="2"/>
    </row>
    <row r="17" spans="3:5" ht="13.5" thickBot="1">
      <c r="C17" s="6"/>
      <c r="D17" s="6"/>
      <c r="E17" s="2"/>
    </row>
    <row r="18" spans="3:6" ht="12.75">
      <c r="C18" s="6"/>
      <c r="D18" s="6"/>
      <c r="E18" s="2"/>
      <c r="F18" s="47" t="s">
        <v>34</v>
      </c>
    </row>
    <row r="19" spans="2:6" ht="12.75">
      <c r="B19" s="3" t="s">
        <v>7</v>
      </c>
      <c r="C19" s="7">
        <f>SUM(C7:C18)</f>
        <v>0.0576</v>
      </c>
      <c r="D19" s="7">
        <f>SUM(D7:D18)</f>
        <v>0.0475</v>
      </c>
      <c r="E19" s="14">
        <f>SUM(E7:E14)</f>
        <v>481076.0465</v>
      </c>
      <c r="F19" s="51"/>
    </row>
    <row r="20" spans="2:6" ht="13.5" thickBot="1">
      <c r="B20" s="3" t="s">
        <v>4</v>
      </c>
      <c r="C20" s="6"/>
      <c r="D20" s="6">
        <f>D14</f>
        <v>0.0023</v>
      </c>
      <c r="E20" s="14">
        <f>SUM(E11:E14)</f>
        <v>102005.3544328</v>
      </c>
      <c r="F20" s="48">
        <f>E20</f>
        <v>102005.3544328</v>
      </c>
    </row>
    <row r="22" spans="1:7" ht="13.5" thickBot="1">
      <c r="A22" s="33"/>
      <c r="B22" s="33"/>
      <c r="C22" s="33"/>
      <c r="D22" s="33"/>
      <c r="E22" s="33"/>
      <c r="F22" s="33"/>
      <c r="G22" s="33"/>
    </row>
    <row r="23" ht="13.5" thickBot="1"/>
    <row r="24" spans="2:4" ht="12.75">
      <c r="B24" s="15" t="s">
        <v>0</v>
      </c>
      <c r="C24" s="34">
        <f>D24*29.3071</f>
        <v>143604790</v>
      </c>
      <c r="D24" s="37">
        <f>D3</f>
        <v>4900000</v>
      </c>
    </row>
    <row r="25" spans="2:4" ht="13.5" thickBot="1">
      <c r="B25" s="16" t="s">
        <v>1</v>
      </c>
      <c r="C25" s="35">
        <f>D25*29.3071</f>
        <v>2297676.6399999997</v>
      </c>
      <c r="D25" s="38">
        <f>D4</f>
        <v>78400</v>
      </c>
    </row>
    <row r="26" ht="12.75">
      <c r="B26" s="3"/>
    </row>
    <row r="27" spans="2:5" ht="16.5" thickBot="1">
      <c r="B27" s="43" t="s">
        <v>31</v>
      </c>
      <c r="C27" s="11" t="s">
        <v>8</v>
      </c>
      <c r="D27" s="8" t="s">
        <v>9</v>
      </c>
      <c r="E27" s="9" t="s">
        <v>13</v>
      </c>
    </row>
    <row r="28" spans="2:6" ht="12.75">
      <c r="B28" s="5" t="s">
        <v>5</v>
      </c>
      <c r="C28" s="6"/>
      <c r="D28" s="32">
        <v>0</v>
      </c>
      <c r="E28" s="13">
        <f>D28*$C$25*365/100</f>
        <v>0</v>
      </c>
      <c r="F28" s="50" t="s">
        <v>33</v>
      </c>
    </row>
    <row r="29" spans="2:7" ht="12.75">
      <c r="B29" s="5" t="s">
        <v>6</v>
      </c>
      <c r="C29" s="6"/>
      <c r="D29" s="32">
        <f>$D$8*Adjustment!$D$13</f>
        <v>0.036475200000000006</v>
      </c>
      <c r="E29" s="13">
        <f>D29*$C$25*365/100</f>
        <v>305899.9846745472</v>
      </c>
      <c r="F29" s="49">
        <f>SUM(E28:E29)*0.4737</f>
        <v>144904.822740333</v>
      </c>
      <c r="G29" s="36">
        <f>F29/F34</f>
        <v>0.8512090311174954</v>
      </c>
    </row>
    <row r="30" spans="3:7" ht="12.75">
      <c r="C30" s="6"/>
      <c r="D30" s="6"/>
      <c r="E30" s="2"/>
      <c r="G30" s="4"/>
    </row>
    <row r="31" spans="3:7" ht="12.75">
      <c r="C31" s="6"/>
      <c r="D31" s="6"/>
      <c r="E31" s="2"/>
      <c r="G31" s="4"/>
    </row>
    <row r="32" spans="2:7" ht="12.75">
      <c r="B32" s="10" t="s">
        <v>2</v>
      </c>
      <c r="C32" s="12">
        <f>$C$11*Adjustment!$C$13</f>
        <v>0.0047382</v>
      </c>
      <c r="D32" s="6"/>
      <c r="E32" s="13">
        <f>C32*C24/100</f>
        <v>6804.282159779999</v>
      </c>
      <c r="G32" s="4"/>
    </row>
    <row r="33" spans="2:7" ht="12.75">
      <c r="B33" s="10" t="s">
        <v>3</v>
      </c>
      <c r="C33" s="12">
        <f>$C$12</f>
        <v>0.0129</v>
      </c>
      <c r="D33" s="6"/>
      <c r="E33" s="13">
        <f>C33*C24/100</f>
        <v>18525.01791</v>
      </c>
      <c r="F33" s="14">
        <f>SUM(E32:E33)</f>
        <v>25329.300069779998</v>
      </c>
      <c r="G33" s="36">
        <f>F33/F34</f>
        <v>0.14879096888250465</v>
      </c>
    </row>
    <row r="34" spans="2:6" ht="12.75">
      <c r="B34" s="3"/>
      <c r="C34" s="6"/>
      <c r="D34" s="6"/>
      <c r="E34" s="14"/>
      <c r="F34" s="1">
        <f>SUM(F29:F33)</f>
        <v>170234.122810113</v>
      </c>
    </row>
    <row r="35" spans="2:5" ht="12.75">
      <c r="B35" s="3" t="s">
        <v>10</v>
      </c>
      <c r="C35" s="6"/>
      <c r="D35" s="6">
        <f>D14</f>
        <v>0.0023</v>
      </c>
      <c r="E35" s="13">
        <f>D35*(C25)*365/100</f>
        <v>19288.995392799996</v>
      </c>
    </row>
    <row r="36" spans="2:5" ht="12.75">
      <c r="B36" s="3"/>
      <c r="C36" s="6"/>
      <c r="D36" s="6"/>
      <c r="E36" s="14"/>
    </row>
    <row r="37" spans="3:5" ht="12.75">
      <c r="C37" s="6"/>
      <c r="D37" s="6"/>
      <c r="E37" s="2"/>
    </row>
    <row r="38" spans="3:5" ht="13.5" thickBot="1">
      <c r="C38" s="6"/>
      <c r="D38" s="6"/>
      <c r="E38" s="2"/>
    </row>
    <row r="39" spans="3:6" ht="12.75">
      <c r="C39" s="6"/>
      <c r="D39" s="6"/>
      <c r="E39" s="2"/>
      <c r="F39" s="47" t="s">
        <v>35</v>
      </c>
    </row>
    <row r="40" spans="2:6" ht="12.75">
      <c r="B40" s="3" t="s">
        <v>7</v>
      </c>
      <c r="C40" s="7">
        <f>SUM(C28:C39)</f>
        <v>0.0176382</v>
      </c>
      <c r="D40" s="7">
        <f>SUM(D28:D39)</f>
        <v>0.03877520000000001</v>
      </c>
      <c r="E40" s="14">
        <f>SUM(E28:E35)</f>
        <v>350518.2801371272</v>
      </c>
      <c r="F40" s="51"/>
    </row>
    <row r="41" spans="2:6" ht="13.5" thickBot="1">
      <c r="B41" s="3" t="s">
        <v>4</v>
      </c>
      <c r="C41" s="6"/>
      <c r="D41" s="6">
        <f>D35</f>
        <v>0.0023</v>
      </c>
      <c r="E41" s="14">
        <f>SUM(E32:E35)</f>
        <v>44618.29546257999</v>
      </c>
      <c r="F41" s="48">
        <f>E41+F29</f>
        <v>189523.118202913</v>
      </c>
    </row>
    <row r="43" spans="1:7" ht="13.5" thickBot="1">
      <c r="A43" s="33"/>
      <c r="B43" s="33"/>
      <c r="C43" s="33"/>
      <c r="D43" s="33"/>
      <c r="E43" s="33"/>
      <c r="F43" s="33"/>
      <c r="G43" s="33"/>
    </row>
    <row r="45" ht="18.75" thickBot="1">
      <c r="B45" s="30"/>
    </row>
    <row r="46" spans="2:4" ht="12.75">
      <c r="B46" s="15" t="s">
        <v>0</v>
      </c>
      <c r="C46" s="52">
        <f>D46*29.3071</f>
        <v>143604790</v>
      </c>
      <c r="D46" s="54">
        <f>D3</f>
        <v>4900000</v>
      </c>
    </row>
    <row r="47" spans="2:4" ht="13.5" thickBot="1">
      <c r="B47" s="16" t="s">
        <v>1</v>
      </c>
      <c r="C47" s="53">
        <f>D47*29.3071</f>
        <v>2297676.6399999997</v>
      </c>
      <c r="D47" s="55">
        <f>D4</f>
        <v>78400</v>
      </c>
    </row>
    <row r="48" ht="12.75">
      <c r="B48" s="3"/>
    </row>
    <row r="49" spans="2:5" ht="16.5" thickBot="1">
      <c r="B49" s="43" t="s">
        <v>39</v>
      </c>
      <c r="C49" s="11" t="s">
        <v>8</v>
      </c>
      <c r="D49" s="8" t="s">
        <v>9</v>
      </c>
      <c r="E49" s="9" t="s">
        <v>13</v>
      </c>
    </row>
    <row r="50" spans="2:5" ht="12.75">
      <c r="B50" s="5" t="s">
        <v>5</v>
      </c>
      <c r="C50" s="6"/>
      <c r="D50" s="32">
        <f>$D$7</f>
        <v>0.0248</v>
      </c>
      <c r="E50" s="13">
        <f>D50*$C$47*365/100</f>
        <v>207985.68945279997</v>
      </c>
    </row>
    <row r="51" spans="2:7" ht="12.75">
      <c r="B51" s="5" t="s">
        <v>6</v>
      </c>
      <c r="C51" s="6"/>
      <c r="D51" s="32">
        <f>$D$8*Adjustment!$D$13</f>
        <v>0.036475200000000006</v>
      </c>
      <c r="E51" s="13">
        <f>D51*$C$47*365/100</f>
        <v>305899.9846745472</v>
      </c>
      <c r="F51" s="41">
        <f>SUM(E50:E51)</f>
        <v>513885.6741273472</v>
      </c>
      <c r="G51" s="36">
        <f>F51/F56</f>
        <v>0.9530255996553241</v>
      </c>
    </row>
    <row r="52" spans="3:7" ht="12.75">
      <c r="C52" s="6"/>
      <c r="D52" s="6"/>
      <c r="E52" s="2"/>
      <c r="G52" s="4"/>
    </row>
    <row r="53" spans="3:7" ht="12.75">
      <c r="C53" s="6"/>
      <c r="D53" s="6"/>
      <c r="E53" s="2"/>
      <c r="G53" s="4"/>
    </row>
    <row r="54" spans="2:7" ht="12.75">
      <c r="B54" s="10" t="s">
        <v>2</v>
      </c>
      <c r="C54" s="12">
        <f>$C$11*Adjustment!$C$13</f>
        <v>0.0047382</v>
      </c>
      <c r="D54" s="6"/>
      <c r="E54" s="13">
        <f>C54*C46/100</f>
        <v>6804.282159779999</v>
      </c>
      <c r="G54" s="4"/>
    </row>
    <row r="55" spans="2:7" ht="12.75">
      <c r="B55" s="10" t="s">
        <v>3</v>
      </c>
      <c r="C55" s="12">
        <f>$C$12</f>
        <v>0.0129</v>
      </c>
      <c r="D55" s="6"/>
      <c r="E55" s="13">
        <f>C55*C46/100</f>
        <v>18525.01791</v>
      </c>
      <c r="F55" s="14">
        <f>SUM(E54:E55)</f>
        <v>25329.300069779998</v>
      </c>
      <c r="G55" s="36">
        <f>F55/F56</f>
        <v>0.046974400344676016</v>
      </c>
    </row>
    <row r="56" spans="2:6" ht="12.75">
      <c r="B56" s="3"/>
      <c r="C56" s="6"/>
      <c r="D56" s="6"/>
      <c r="E56" s="14"/>
      <c r="F56" s="1">
        <f>SUM(F51:F55)</f>
        <v>539214.9741971272</v>
      </c>
    </row>
    <row r="57" spans="2:5" ht="12.75">
      <c r="B57" s="3" t="s">
        <v>10</v>
      </c>
      <c r="C57" s="6"/>
      <c r="D57" s="6">
        <f>D14</f>
        <v>0.0023</v>
      </c>
      <c r="E57" s="13">
        <f>D57*(C47)*365/100</f>
        <v>19288.995392799996</v>
      </c>
    </row>
    <row r="58" spans="2:5" ht="12.75">
      <c r="B58" s="3"/>
      <c r="C58" s="6"/>
      <c r="D58" s="6"/>
      <c r="E58" s="14"/>
    </row>
    <row r="59" spans="3:5" ht="12.75">
      <c r="C59" s="6"/>
      <c r="D59" s="6"/>
      <c r="E59" s="2"/>
    </row>
    <row r="60" spans="3:5" ht="13.5" thickBot="1">
      <c r="C60" s="6"/>
      <c r="D60" s="6"/>
      <c r="E60" s="2"/>
    </row>
    <row r="61" spans="3:6" ht="12.75">
      <c r="C61" s="6"/>
      <c r="D61" s="6"/>
      <c r="E61" s="2"/>
      <c r="F61" s="47" t="s">
        <v>36</v>
      </c>
    </row>
    <row r="62" spans="2:6" ht="12.75">
      <c r="B62" s="3" t="s">
        <v>7</v>
      </c>
      <c r="C62" s="7">
        <f>SUM(C50:C61)</f>
        <v>0.0176382</v>
      </c>
      <c r="D62" s="7">
        <f>SUM(D50:D61)</f>
        <v>0.0635752</v>
      </c>
      <c r="E62" s="14">
        <f>SUM(E50:E57)</f>
        <v>558503.9695899271</v>
      </c>
      <c r="F62" s="51"/>
    </row>
    <row r="63" spans="2:6" ht="13.5" thickBot="1">
      <c r="B63" s="3" t="s">
        <v>4</v>
      </c>
      <c r="C63" s="6"/>
      <c r="D63" s="6">
        <f>D57</f>
        <v>0.0023</v>
      </c>
      <c r="E63" s="14">
        <f>SUM(E54:E57)</f>
        <v>44618.29546257999</v>
      </c>
      <c r="F63" s="48">
        <f>E63+F51</f>
        <v>558503.9695899272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PageLayoutView="0" workbookViewId="0" topLeftCell="A1">
      <selection activeCell="D51" sqref="D51"/>
    </sheetView>
  </sheetViews>
  <sheetFormatPr defaultColWidth="9.140625" defaultRowHeight="12.75"/>
  <cols>
    <col min="2" max="2" width="27.7109375" style="0" bestFit="1" customWidth="1"/>
    <col min="3" max="3" width="26.421875" style="0" bestFit="1" customWidth="1"/>
    <col min="4" max="4" width="26.00390625" style="0" bestFit="1" customWidth="1"/>
    <col min="5" max="5" width="20.421875" style="0" bestFit="1" customWidth="1"/>
    <col min="6" max="6" width="20.8515625" style="0" customWidth="1"/>
    <col min="7" max="7" width="11.00390625" style="0" customWidth="1"/>
  </cols>
  <sheetData>
    <row r="2" spans="1:4" ht="18.75" thickBot="1">
      <c r="A2" s="59" t="s">
        <v>32</v>
      </c>
      <c r="B2" s="30"/>
      <c r="C2" s="4" t="s">
        <v>29</v>
      </c>
      <c r="D2" s="4" t="s">
        <v>28</v>
      </c>
    </row>
    <row r="3" spans="2:5" ht="12.75">
      <c r="B3" s="15" t="s">
        <v>0</v>
      </c>
      <c r="C3" s="34">
        <f>D3*29.3071</f>
        <v>143604790</v>
      </c>
      <c r="D3" s="46">
        <v>4900000</v>
      </c>
      <c r="E3" t="s">
        <v>37</v>
      </c>
    </row>
    <row r="4" spans="2:5" ht="13.5" thickBot="1">
      <c r="B4" s="16" t="s">
        <v>1</v>
      </c>
      <c r="C4" s="35">
        <f>D4*29.3071</f>
        <v>2297676.6399999997</v>
      </c>
      <c r="D4" s="40">
        <v>78400</v>
      </c>
      <c r="E4" t="s">
        <v>38</v>
      </c>
    </row>
    <row r="5" ht="12.75">
      <c r="B5" s="3"/>
    </row>
    <row r="6" spans="2:6" ht="16.5" thickBot="1">
      <c r="B6" s="43" t="s">
        <v>11</v>
      </c>
      <c r="C6" s="11" t="s">
        <v>8</v>
      </c>
      <c r="D6" s="8" t="s">
        <v>9</v>
      </c>
      <c r="E6" s="9" t="s">
        <v>13</v>
      </c>
      <c r="F6" s="17" t="s">
        <v>12</v>
      </c>
    </row>
    <row r="7" spans="2:5" ht="12.75">
      <c r="B7" s="5" t="s">
        <v>5</v>
      </c>
      <c r="C7" s="6"/>
      <c r="D7" s="31">
        <v>0.021</v>
      </c>
      <c r="E7" s="13">
        <f>D7*$C$4*365/100</f>
        <v>176116.914456</v>
      </c>
    </row>
    <row r="8" spans="2:7" ht="12.75">
      <c r="B8" s="5" t="s">
        <v>6</v>
      </c>
      <c r="C8" s="6"/>
      <c r="D8" s="31">
        <v>0.0214</v>
      </c>
      <c r="E8" s="13">
        <f>D8*$C$4*365/100</f>
        <v>179471.52235039993</v>
      </c>
      <c r="F8" s="41">
        <f>SUM(E7:E8)</f>
        <v>355588.43680639996</v>
      </c>
      <c r="G8" s="36">
        <f>F8/F13</f>
        <v>0.8049516280037449</v>
      </c>
    </row>
    <row r="9" spans="3:7" ht="12.75">
      <c r="C9" s="6"/>
      <c r="D9" s="31"/>
      <c r="E9" s="2"/>
      <c r="G9" s="4"/>
    </row>
    <row r="10" spans="3:7" ht="12.75">
      <c r="C10" s="6"/>
      <c r="D10" s="6"/>
      <c r="E10" s="2"/>
      <c r="G10" s="4"/>
    </row>
    <row r="11" spans="2:7" ht="12.75">
      <c r="B11" s="10" t="s">
        <v>2</v>
      </c>
      <c r="C11" s="12">
        <v>0.0471</v>
      </c>
      <c r="D11" s="6"/>
      <c r="E11" s="13">
        <f>C11*C3/100</f>
        <v>67637.85609</v>
      </c>
      <c r="G11" s="4"/>
    </row>
    <row r="12" spans="2:7" ht="12.75">
      <c r="B12" s="10" t="s">
        <v>3</v>
      </c>
      <c r="C12" s="58">
        <v>0.0129</v>
      </c>
      <c r="D12" s="6"/>
      <c r="E12" s="13">
        <f>C12*C3/100</f>
        <v>18525.01791</v>
      </c>
      <c r="F12" s="14">
        <f>SUM(E11:E12)</f>
        <v>86162.874</v>
      </c>
      <c r="G12" s="36">
        <f>F12/F13</f>
        <v>0.19504837199625508</v>
      </c>
    </row>
    <row r="13" spans="2:6" ht="12.75">
      <c r="B13" s="3"/>
      <c r="C13" s="6"/>
      <c r="D13" s="6"/>
      <c r="E13" s="14"/>
      <c r="F13" s="1">
        <f>SUM(F8:F12)</f>
        <v>441751.31080639997</v>
      </c>
    </row>
    <row r="14" spans="2:5" ht="12.75">
      <c r="B14" s="3" t="s">
        <v>10</v>
      </c>
      <c r="C14" s="6"/>
      <c r="D14" s="6">
        <v>0.0024</v>
      </c>
      <c r="E14" s="13">
        <f>D14*(C4)*365/100</f>
        <v>20127.647366399993</v>
      </c>
    </row>
    <row r="15" spans="2:5" ht="12.75">
      <c r="B15" s="3"/>
      <c r="C15" s="6"/>
      <c r="D15" s="6"/>
      <c r="E15" s="14"/>
    </row>
    <row r="16" spans="3:5" ht="12.75">
      <c r="C16" s="6"/>
      <c r="D16" s="6"/>
      <c r="E16" s="2"/>
    </row>
    <row r="17" spans="3:5" ht="13.5" thickBot="1">
      <c r="C17" s="6"/>
      <c r="D17" s="6"/>
      <c r="E17" s="2"/>
    </row>
    <row r="18" spans="3:6" ht="12.75">
      <c r="C18" s="6"/>
      <c r="D18" s="6"/>
      <c r="E18" s="2"/>
      <c r="F18" s="47" t="s">
        <v>34</v>
      </c>
    </row>
    <row r="19" spans="2:6" ht="12.75">
      <c r="B19" s="3" t="s">
        <v>7</v>
      </c>
      <c r="C19" s="7">
        <f>SUM(C7:C18)</f>
        <v>0.060000000000000005</v>
      </c>
      <c r="D19" s="7">
        <f>SUM(D7:D18)</f>
        <v>0.0448</v>
      </c>
      <c r="E19" s="14">
        <f>SUM(E7:E14)</f>
        <v>461878.95817279996</v>
      </c>
      <c r="F19" s="51"/>
    </row>
    <row r="20" spans="2:6" ht="13.5" thickBot="1">
      <c r="B20" s="3" t="s">
        <v>4</v>
      </c>
      <c r="C20" s="6"/>
      <c r="D20" s="6">
        <f>D14</f>
        <v>0.0024</v>
      </c>
      <c r="E20" s="14">
        <f>SUM(E11:E14)</f>
        <v>106290.52136639999</v>
      </c>
      <c r="F20" s="48">
        <f>E20</f>
        <v>106290.52136639999</v>
      </c>
    </row>
    <row r="22" spans="1:7" ht="13.5" thickBot="1">
      <c r="A22" s="33"/>
      <c r="B22" s="33"/>
      <c r="C22" s="33"/>
      <c r="D22" s="33"/>
      <c r="E22" s="33"/>
      <c r="F22" s="33"/>
      <c r="G22" s="33"/>
    </row>
    <row r="23" ht="13.5" thickBot="1"/>
    <row r="24" spans="2:4" ht="12.75">
      <c r="B24" s="15" t="s">
        <v>0</v>
      </c>
      <c r="C24" s="34">
        <f>D24*29.3071</f>
        <v>143604790</v>
      </c>
      <c r="D24" s="37">
        <f>D3</f>
        <v>4900000</v>
      </c>
    </row>
    <row r="25" spans="2:4" ht="13.5" thickBot="1">
      <c r="B25" s="16" t="s">
        <v>1</v>
      </c>
      <c r="C25" s="35">
        <f>D25*29.3071</f>
        <v>2297676.6399999997</v>
      </c>
      <c r="D25" s="38">
        <f>D4</f>
        <v>78400</v>
      </c>
    </row>
    <row r="26" ht="12.75">
      <c r="B26" s="3"/>
    </row>
    <row r="27" spans="2:5" ht="16.5" thickBot="1">
      <c r="B27" s="43" t="s">
        <v>31</v>
      </c>
      <c r="C27" s="11" t="s">
        <v>8</v>
      </c>
      <c r="D27" s="8" t="s">
        <v>9</v>
      </c>
      <c r="E27" s="9" t="s">
        <v>13</v>
      </c>
    </row>
    <row r="28" spans="2:6" ht="12.75">
      <c r="B28" s="5" t="s">
        <v>5</v>
      </c>
      <c r="C28" s="6"/>
      <c r="D28" s="32">
        <v>0</v>
      </c>
      <c r="E28" s="13">
        <f>D28*$C$25*365/100</f>
        <v>0</v>
      </c>
      <c r="F28" s="50" t="s">
        <v>33</v>
      </c>
    </row>
    <row r="29" spans="2:7" ht="12.75">
      <c r="B29" s="5" t="s">
        <v>6</v>
      </c>
      <c r="C29" s="6"/>
      <c r="D29" s="32">
        <f>$D$8*Adjustment!$D$12</f>
        <v>0.037877999999999995</v>
      </c>
      <c r="E29" s="13">
        <f>D29*$C$25*365/100</f>
        <v>317664.594560208</v>
      </c>
      <c r="F29" s="49">
        <f>SUM(E28:E29)*0.4737</f>
        <v>150477.7184431705</v>
      </c>
      <c r="G29" s="36">
        <f>F29/F34</f>
        <v>0.8541506042974818</v>
      </c>
    </row>
    <row r="30" spans="3:7" ht="12.75">
      <c r="C30" s="6"/>
      <c r="D30" s="6"/>
      <c r="E30" s="2"/>
      <c r="G30" s="4"/>
    </row>
    <row r="31" spans="3:7" ht="12.75">
      <c r="C31" s="6"/>
      <c r="D31" s="6"/>
      <c r="E31" s="2"/>
      <c r="G31" s="4"/>
    </row>
    <row r="32" spans="2:7" ht="12.75">
      <c r="B32" s="10" t="s">
        <v>2</v>
      </c>
      <c r="C32" s="12">
        <f>$C$11*Adjustment!$C$12</f>
        <v>0.0049926</v>
      </c>
      <c r="D32" s="6"/>
      <c r="E32" s="13">
        <f>C32*C24/100</f>
        <v>7169.61274554</v>
      </c>
      <c r="G32" s="4"/>
    </row>
    <row r="33" spans="2:7" ht="12.75">
      <c r="B33" s="10" t="s">
        <v>3</v>
      </c>
      <c r="C33" s="12">
        <f>$C$12</f>
        <v>0.0129</v>
      </c>
      <c r="D33" s="6"/>
      <c r="E33" s="13">
        <f>C33*C24/100</f>
        <v>18525.01791</v>
      </c>
      <c r="F33" s="14">
        <f>SUM(E32:E33)</f>
        <v>25694.63065554</v>
      </c>
      <c r="G33" s="36">
        <f>F33/F34</f>
        <v>0.14584939570251818</v>
      </c>
    </row>
    <row r="34" spans="2:6" ht="12.75">
      <c r="B34" s="3"/>
      <c r="C34" s="6"/>
      <c r="D34" s="6"/>
      <c r="E34" s="14"/>
      <c r="F34" s="1">
        <f>SUM(F29:F33)</f>
        <v>176172.34909871052</v>
      </c>
    </row>
    <row r="35" spans="2:5" ht="12.75">
      <c r="B35" s="3" t="s">
        <v>10</v>
      </c>
      <c r="C35" s="6"/>
      <c r="D35" s="6">
        <f>D14</f>
        <v>0.0024</v>
      </c>
      <c r="E35" s="13">
        <f>D35*(C25)*365/100</f>
        <v>20127.647366399993</v>
      </c>
    </row>
    <row r="36" spans="2:5" ht="12.75">
      <c r="B36" s="3"/>
      <c r="C36" s="6"/>
      <c r="D36" s="6"/>
      <c r="E36" s="14"/>
    </row>
    <row r="37" spans="3:5" ht="12.75">
      <c r="C37" s="6"/>
      <c r="D37" s="6"/>
      <c r="E37" s="2"/>
    </row>
    <row r="38" spans="3:5" ht="13.5" thickBot="1">
      <c r="C38" s="6"/>
      <c r="D38" s="6"/>
      <c r="E38" s="2"/>
    </row>
    <row r="39" spans="3:6" ht="12.75">
      <c r="C39" s="6"/>
      <c r="D39" s="6"/>
      <c r="E39" s="2"/>
      <c r="F39" s="47" t="s">
        <v>35</v>
      </c>
    </row>
    <row r="40" spans="2:6" ht="12.75">
      <c r="B40" s="3" t="s">
        <v>7</v>
      </c>
      <c r="C40" s="7">
        <f>SUM(C28:C39)</f>
        <v>0.0178926</v>
      </c>
      <c r="D40" s="7">
        <f>SUM(D28:D39)</f>
        <v>0.040277999999999994</v>
      </c>
      <c r="E40" s="14">
        <f>SUM(E28:E35)</f>
        <v>363486.87258214795</v>
      </c>
      <c r="F40" s="51"/>
    </row>
    <row r="41" spans="2:6" ht="13.5" thickBot="1">
      <c r="B41" s="3" t="s">
        <v>4</v>
      </c>
      <c r="C41" s="6"/>
      <c r="D41" s="6">
        <f>D35</f>
        <v>0.0024</v>
      </c>
      <c r="E41" s="14">
        <f>SUM(E32:E35)</f>
        <v>45822.278021939994</v>
      </c>
      <c r="F41" s="48">
        <f>E41+F29</f>
        <v>196299.9964651105</v>
      </c>
    </row>
    <row r="43" spans="1:7" ht="13.5" thickBot="1">
      <c r="A43" s="33"/>
      <c r="B43" s="33"/>
      <c r="C43" s="33"/>
      <c r="D43" s="33"/>
      <c r="E43" s="33"/>
      <c r="F43" s="33"/>
      <c r="G43" s="33"/>
    </row>
    <row r="45" ht="18.75" thickBot="1">
      <c r="B45" s="30"/>
    </row>
    <row r="46" spans="2:4" ht="12.75">
      <c r="B46" s="15" t="s">
        <v>0</v>
      </c>
      <c r="C46" s="52">
        <f>D46*29.3071</f>
        <v>143604790</v>
      </c>
      <c r="D46" s="54">
        <f>D3</f>
        <v>4900000</v>
      </c>
    </row>
    <row r="47" spans="2:4" ht="13.5" thickBot="1">
      <c r="B47" s="16" t="s">
        <v>1</v>
      </c>
      <c r="C47" s="53">
        <f>D47*29.3071</f>
        <v>2297676.6399999997</v>
      </c>
      <c r="D47" s="55">
        <f>D4</f>
        <v>78400</v>
      </c>
    </row>
    <row r="48" ht="12.75">
      <c r="B48" s="3"/>
    </row>
    <row r="49" spans="2:5" ht="16.5" thickBot="1">
      <c r="B49" s="43" t="s">
        <v>39</v>
      </c>
      <c r="C49" s="11" t="s">
        <v>8</v>
      </c>
      <c r="D49" s="8" t="s">
        <v>9</v>
      </c>
      <c r="E49" s="9" t="s">
        <v>13</v>
      </c>
    </row>
    <row r="50" spans="2:5" ht="12.75">
      <c r="B50" s="5" t="s">
        <v>5</v>
      </c>
      <c r="C50" s="6"/>
      <c r="D50" s="32">
        <f>$D$7</f>
        <v>0.021</v>
      </c>
      <c r="E50" s="13">
        <f>D50*$C$47*365/100</f>
        <v>176116.914456</v>
      </c>
    </row>
    <row r="51" spans="2:7" ht="12.75">
      <c r="B51" s="5" t="s">
        <v>6</v>
      </c>
      <c r="C51" s="6"/>
      <c r="D51" s="32">
        <f>$D$8*Adjustment!$D$12</f>
        <v>0.037877999999999995</v>
      </c>
      <c r="E51" s="13">
        <f>D51*$C$47*365/100</f>
        <v>317664.594560208</v>
      </c>
      <c r="F51" s="41">
        <f>SUM(E50:E51)</f>
        <v>493781.509016208</v>
      </c>
      <c r="G51" s="36">
        <f>F51/F56</f>
        <v>0.9505374189625414</v>
      </c>
    </row>
    <row r="52" spans="3:7" ht="12.75">
      <c r="C52" s="6"/>
      <c r="D52" s="6"/>
      <c r="E52" s="2"/>
      <c r="G52" s="4"/>
    </row>
    <row r="53" spans="3:7" ht="12.75">
      <c r="C53" s="6"/>
      <c r="D53" s="6"/>
      <c r="E53" s="2"/>
      <c r="G53" s="4"/>
    </row>
    <row r="54" spans="2:7" ht="12.75">
      <c r="B54" s="10" t="s">
        <v>2</v>
      </c>
      <c r="C54" s="12">
        <f>$C$11*Adjustment!$C$12</f>
        <v>0.0049926</v>
      </c>
      <c r="D54" s="6"/>
      <c r="E54" s="13">
        <f>C54*C46/100</f>
        <v>7169.61274554</v>
      </c>
      <c r="G54" s="4"/>
    </row>
    <row r="55" spans="2:7" ht="12.75">
      <c r="B55" s="10" t="s">
        <v>3</v>
      </c>
      <c r="C55" s="12">
        <f>$C$12</f>
        <v>0.0129</v>
      </c>
      <c r="D55" s="6"/>
      <c r="E55" s="13">
        <f>C55*C46/100</f>
        <v>18525.01791</v>
      </c>
      <c r="F55" s="14">
        <f>SUM(E54:E55)</f>
        <v>25694.63065554</v>
      </c>
      <c r="G55" s="36">
        <f>F55/F56</f>
        <v>0.049462581037458604</v>
      </c>
    </row>
    <row r="56" spans="2:6" ht="12.75">
      <c r="B56" s="3"/>
      <c r="C56" s="6"/>
      <c r="D56" s="6"/>
      <c r="E56" s="14"/>
      <c r="F56" s="1">
        <f>SUM(F51:F55)</f>
        <v>519476.139671748</v>
      </c>
    </row>
    <row r="57" spans="2:5" ht="12.75">
      <c r="B57" s="3" t="s">
        <v>10</v>
      </c>
      <c r="C57" s="6"/>
      <c r="D57" s="6">
        <f>D14</f>
        <v>0.0024</v>
      </c>
      <c r="E57" s="13">
        <f>D57*(C47)*365/100</f>
        <v>20127.647366399993</v>
      </c>
    </row>
    <row r="58" spans="2:5" ht="12.75">
      <c r="B58" s="3"/>
      <c r="C58" s="6"/>
      <c r="D58" s="6"/>
      <c r="E58" s="14"/>
    </row>
    <row r="59" spans="3:5" ht="12.75">
      <c r="C59" s="6"/>
      <c r="D59" s="6"/>
      <c r="E59" s="2"/>
    </row>
    <row r="60" spans="3:5" ht="13.5" thickBot="1">
      <c r="C60" s="6"/>
      <c r="D60" s="6"/>
      <c r="E60" s="2"/>
    </row>
    <row r="61" spans="3:6" ht="12.75">
      <c r="C61" s="6"/>
      <c r="D61" s="6"/>
      <c r="E61" s="2"/>
      <c r="F61" s="47" t="s">
        <v>36</v>
      </c>
    </row>
    <row r="62" spans="2:6" ht="12.75">
      <c r="B62" s="3" t="s">
        <v>7</v>
      </c>
      <c r="C62" s="7">
        <f>SUM(C50:C61)</f>
        <v>0.0178926</v>
      </c>
      <c r="D62" s="7">
        <f>SUM(D50:D61)</f>
        <v>0.061278</v>
      </c>
      <c r="E62" s="14">
        <f>SUM(E50:E57)</f>
        <v>539603.7870381479</v>
      </c>
      <c r="F62" s="51"/>
    </row>
    <row r="63" spans="2:6" ht="13.5" thickBot="1">
      <c r="B63" s="3" t="s">
        <v>4</v>
      </c>
      <c r="C63" s="6"/>
      <c r="D63" s="6">
        <f>D57</f>
        <v>0.0024</v>
      </c>
      <c r="E63" s="14">
        <f>SUM(E54:E57)</f>
        <v>45822.278021939994</v>
      </c>
      <c r="F63" s="48">
        <f>E63+F51</f>
        <v>539603.787038148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PageLayoutView="0" workbookViewId="0" topLeftCell="A34">
      <selection activeCell="G29" sqref="G29"/>
    </sheetView>
  </sheetViews>
  <sheetFormatPr defaultColWidth="9.140625" defaultRowHeight="12.75"/>
  <cols>
    <col min="2" max="2" width="27.7109375" style="0" bestFit="1" customWidth="1"/>
    <col min="3" max="3" width="26.421875" style="0" bestFit="1" customWidth="1"/>
    <col min="4" max="4" width="26.00390625" style="0" bestFit="1" customWidth="1"/>
    <col min="5" max="5" width="20.421875" style="0" bestFit="1" customWidth="1"/>
    <col min="6" max="6" width="21.00390625" style="0" customWidth="1"/>
    <col min="7" max="7" width="11.28125" style="0" customWidth="1"/>
  </cols>
  <sheetData>
    <row r="2" spans="1:4" ht="18.75" thickBot="1">
      <c r="A2" s="59" t="s">
        <v>30</v>
      </c>
      <c r="B2" s="30"/>
      <c r="C2" s="4" t="s">
        <v>29</v>
      </c>
      <c r="D2" s="4" t="s">
        <v>28</v>
      </c>
    </row>
    <row r="3" spans="2:5" ht="12.75">
      <c r="B3" s="15" t="s">
        <v>0</v>
      </c>
      <c r="C3" s="34">
        <f>D3*29.3071</f>
        <v>287209580</v>
      </c>
      <c r="D3" s="46">
        <f>9800000</f>
        <v>9800000</v>
      </c>
      <c r="E3" t="s">
        <v>37</v>
      </c>
    </row>
    <row r="4" spans="2:5" ht="13.5" thickBot="1">
      <c r="B4" s="16" t="s">
        <v>1</v>
      </c>
      <c r="C4" s="35">
        <f>D4*29.3071</f>
        <v>4595353.279999999</v>
      </c>
      <c r="D4" s="40">
        <f>156800</f>
        <v>156800</v>
      </c>
      <c r="E4" t="s">
        <v>38</v>
      </c>
    </row>
    <row r="5" ht="12.75">
      <c r="B5" s="3"/>
    </row>
    <row r="6" spans="2:6" ht="16.5" thickBot="1">
      <c r="B6" s="42" t="s">
        <v>11</v>
      </c>
      <c r="C6" s="11" t="s">
        <v>8</v>
      </c>
      <c r="D6" s="8" t="s">
        <v>9</v>
      </c>
      <c r="E6" s="9" t="s">
        <v>13</v>
      </c>
      <c r="F6" s="17" t="s">
        <v>12</v>
      </c>
    </row>
    <row r="7" spans="2:5" ht="12.75">
      <c r="B7" s="5" t="s">
        <v>5</v>
      </c>
      <c r="C7" s="6"/>
      <c r="D7" s="31">
        <v>0.0179</v>
      </c>
      <c r="E7" s="13">
        <f>D7*$C$4*365/100</f>
        <v>300237.40654879995</v>
      </c>
    </row>
    <row r="8" spans="2:7" ht="12.75">
      <c r="B8" s="5" t="s">
        <v>6</v>
      </c>
      <c r="C8" s="6"/>
      <c r="D8" s="31">
        <v>0.0187</v>
      </c>
      <c r="E8" s="13">
        <f>D8*$C$4*365/100</f>
        <v>313655.8381264</v>
      </c>
      <c r="F8" s="41">
        <f>SUM(E7:E8)</f>
        <v>613893.2446752</v>
      </c>
      <c r="G8" s="36">
        <f>F8/F13</f>
        <v>0.8010073301254665</v>
      </c>
    </row>
    <row r="9" spans="3:7" ht="12.75">
      <c r="C9" s="6"/>
      <c r="D9" s="31"/>
      <c r="E9" s="2"/>
      <c r="G9" s="4"/>
    </row>
    <row r="10" spans="3:7" ht="12.75">
      <c r="C10" s="6"/>
      <c r="D10" s="6"/>
      <c r="E10" s="2"/>
      <c r="G10" s="4"/>
    </row>
    <row r="11" spans="2:7" ht="12.75">
      <c r="B11" s="10" t="s">
        <v>2</v>
      </c>
      <c r="C11" s="12">
        <v>0.0402</v>
      </c>
      <c r="D11" s="6"/>
      <c r="E11" s="13">
        <f>C11*C3/100</f>
        <v>115458.25116</v>
      </c>
      <c r="G11" s="4"/>
    </row>
    <row r="12" spans="2:7" ht="12.75">
      <c r="B12" s="10" t="s">
        <v>3</v>
      </c>
      <c r="C12" s="58">
        <v>0.0129</v>
      </c>
      <c r="D12" s="6"/>
      <c r="E12" s="13">
        <f>C12*C3/100</f>
        <v>37050.03582</v>
      </c>
      <c r="F12" s="14">
        <f>SUM(E11:E12)</f>
        <v>152508.28698</v>
      </c>
      <c r="G12" s="36">
        <f>F12/F13</f>
        <v>0.19899266987453346</v>
      </c>
    </row>
    <row r="13" spans="2:6" ht="12.75">
      <c r="B13" s="3"/>
      <c r="C13" s="6"/>
      <c r="D13" s="6"/>
      <c r="E13" s="14"/>
      <c r="F13" s="1">
        <f>SUM(F8:F12)</f>
        <v>766401.5316552</v>
      </c>
    </row>
    <row r="14" spans="2:5" ht="12.75">
      <c r="B14" s="3" t="s">
        <v>10</v>
      </c>
      <c r="C14" s="6"/>
      <c r="D14" s="7">
        <v>0.0021</v>
      </c>
      <c r="E14" s="13">
        <f>D14*(C4)*365/100</f>
        <v>35223.382891199995</v>
      </c>
    </row>
    <row r="15" spans="2:5" ht="12.75">
      <c r="B15" s="3"/>
      <c r="C15" s="6"/>
      <c r="D15" s="6"/>
      <c r="E15" s="14"/>
    </row>
    <row r="16" spans="3:5" ht="12.75">
      <c r="C16" s="6"/>
      <c r="D16" s="6"/>
      <c r="E16" s="2"/>
    </row>
    <row r="17" spans="3:5" ht="13.5" thickBot="1">
      <c r="C17" s="6"/>
      <c r="D17" s="6"/>
      <c r="E17" s="2"/>
    </row>
    <row r="18" spans="3:6" ht="12.75">
      <c r="C18" s="6"/>
      <c r="D18" s="6"/>
      <c r="E18" s="2"/>
      <c r="F18" s="47" t="s">
        <v>34</v>
      </c>
    </row>
    <row r="19" spans="2:6" ht="12.75">
      <c r="B19" s="3" t="s">
        <v>7</v>
      </c>
      <c r="C19" s="7">
        <f>SUM(C7:C18)</f>
        <v>0.0531</v>
      </c>
      <c r="D19" s="7">
        <f>SUM(D7:D18)</f>
        <v>0.0387</v>
      </c>
      <c r="E19" s="14">
        <f>SUM(E7:E14)</f>
        <v>801624.9145464</v>
      </c>
      <c r="F19" s="51"/>
    </row>
    <row r="20" spans="2:6" ht="13.5" thickBot="1">
      <c r="B20" s="3" t="s">
        <v>4</v>
      </c>
      <c r="C20" s="6"/>
      <c r="D20" s="6">
        <f>D14</f>
        <v>0.0021</v>
      </c>
      <c r="E20" s="14">
        <f>SUM(E11:E14)</f>
        <v>187731.6698712</v>
      </c>
      <c r="F20" s="48">
        <f>E20</f>
        <v>187731.6698712</v>
      </c>
    </row>
    <row r="22" spans="1:7" ht="13.5" thickBot="1">
      <c r="A22" s="33"/>
      <c r="B22" s="33"/>
      <c r="C22" s="33"/>
      <c r="D22" s="33"/>
      <c r="E22" s="33"/>
      <c r="F22" s="33"/>
      <c r="G22" s="33"/>
    </row>
    <row r="23" ht="13.5" thickBot="1"/>
    <row r="24" spans="2:4" ht="12.75">
      <c r="B24" s="15" t="s">
        <v>0</v>
      </c>
      <c r="C24" s="34">
        <f>D24*29.3071</f>
        <v>287209580</v>
      </c>
      <c r="D24" s="39">
        <f>D3</f>
        <v>9800000</v>
      </c>
    </row>
    <row r="25" spans="2:4" ht="13.5" thickBot="1">
      <c r="B25" s="16" t="s">
        <v>1</v>
      </c>
      <c r="C25" s="35">
        <f>D25*29.3071</f>
        <v>4595353.279999999</v>
      </c>
      <c r="D25" s="40">
        <f>D4</f>
        <v>156800</v>
      </c>
    </row>
    <row r="26" ht="12.75">
      <c r="B26" s="3"/>
    </row>
    <row r="27" spans="2:5" ht="16.5" thickBot="1">
      <c r="B27" s="43" t="s">
        <v>31</v>
      </c>
      <c r="C27" s="11" t="s">
        <v>8</v>
      </c>
      <c r="D27" s="8" t="s">
        <v>9</v>
      </c>
      <c r="E27" s="9" t="s">
        <v>13</v>
      </c>
    </row>
    <row r="28" spans="2:6" ht="12.75">
      <c r="B28" s="5" t="s">
        <v>5</v>
      </c>
      <c r="C28" s="6"/>
      <c r="D28" s="32">
        <v>0</v>
      </c>
      <c r="E28" s="13">
        <f>D28*$C$25*365/100</f>
        <v>0</v>
      </c>
      <c r="F28" s="50" t="s">
        <v>33</v>
      </c>
    </row>
    <row r="29" spans="2:7" ht="12.75">
      <c r="B29" s="5" t="s">
        <v>6</v>
      </c>
      <c r="C29" s="6"/>
      <c r="D29" s="32">
        <f>$D$8*Adjustment!$D$10</f>
        <v>0.033386980000000004</v>
      </c>
      <c r="E29" s="13">
        <f>D29*$C$25*365/100</f>
        <v>560001.1333908746</v>
      </c>
      <c r="F29" s="49">
        <f>SUM(E28:E29)*0.4737</f>
        <v>265272.5368872573</v>
      </c>
      <c r="G29" s="36">
        <f>F29/F34</f>
        <v>0.8434956836249577</v>
      </c>
    </row>
    <row r="30" spans="3:7" ht="12.75">
      <c r="C30" s="6"/>
      <c r="D30" s="6"/>
      <c r="E30" s="2"/>
      <c r="G30" s="4"/>
    </row>
    <row r="31" spans="3:7" ht="12.75">
      <c r="C31" s="6"/>
      <c r="D31" s="6"/>
      <c r="E31" s="2"/>
      <c r="G31" s="4"/>
    </row>
    <row r="32" spans="2:7" ht="12.75">
      <c r="B32" s="10" t="s">
        <v>2</v>
      </c>
      <c r="C32" s="12">
        <f>$C$11*Adjustment!$C$10</f>
        <v>0.00423708</v>
      </c>
      <c r="D32" s="6"/>
      <c r="E32" s="13">
        <f>C32*C24/100</f>
        <v>12169.299672264</v>
      </c>
      <c r="G32" s="4"/>
    </row>
    <row r="33" spans="2:7" ht="12.75">
      <c r="B33" s="10" t="s">
        <v>3</v>
      </c>
      <c r="C33" s="12">
        <f>$C$12</f>
        <v>0.0129</v>
      </c>
      <c r="D33" s="6"/>
      <c r="E33" s="13">
        <f>C33*C24/100</f>
        <v>37050.03582</v>
      </c>
      <c r="F33" s="14">
        <f>SUM(E32:E33)</f>
        <v>49219.335492264</v>
      </c>
      <c r="G33" s="36">
        <f>F33/F34</f>
        <v>0.1565043163750422</v>
      </c>
    </row>
    <row r="34" spans="2:6" ht="12.75">
      <c r="B34" s="3"/>
      <c r="C34" s="6"/>
      <c r="D34" s="6"/>
      <c r="E34" s="14"/>
      <c r="F34" s="1">
        <f>SUM(F29:F33)</f>
        <v>314491.8723795213</v>
      </c>
    </row>
    <row r="35" spans="2:5" ht="12.75">
      <c r="B35" s="3" t="s">
        <v>10</v>
      </c>
      <c r="C35" s="6"/>
      <c r="D35" s="7">
        <f>D14</f>
        <v>0.0021</v>
      </c>
      <c r="E35" s="13">
        <f>D35*(C25)*365/100</f>
        <v>35223.382891199995</v>
      </c>
    </row>
    <row r="36" spans="2:5" ht="12.75">
      <c r="B36" s="3"/>
      <c r="C36" s="6"/>
      <c r="D36" s="6"/>
      <c r="E36" s="14"/>
    </row>
    <row r="37" spans="3:5" ht="12.75">
      <c r="C37" s="6"/>
      <c r="D37" s="6"/>
      <c r="E37" s="2"/>
    </row>
    <row r="38" spans="3:5" ht="13.5" thickBot="1">
      <c r="C38" s="6"/>
      <c r="D38" s="6"/>
      <c r="E38" s="2"/>
    </row>
    <row r="39" spans="3:6" ht="12.75">
      <c r="C39" s="6"/>
      <c r="D39" s="6"/>
      <c r="E39" s="2"/>
      <c r="F39" s="47" t="s">
        <v>35</v>
      </c>
    </row>
    <row r="40" spans="2:6" ht="12.75">
      <c r="B40" s="3" t="s">
        <v>7</v>
      </c>
      <c r="C40" s="7">
        <f>SUM(C28:C39)</f>
        <v>0.01713708</v>
      </c>
      <c r="D40" s="7">
        <f>SUM(D28:D39)</f>
        <v>0.03548698</v>
      </c>
      <c r="E40" s="14">
        <f>SUM(E28:E35)</f>
        <v>644443.8517743386</v>
      </c>
      <c r="F40" s="51"/>
    </row>
    <row r="41" spans="2:6" ht="13.5" thickBot="1">
      <c r="B41" s="3" t="s">
        <v>4</v>
      </c>
      <c r="C41" s="6"/>
      <c r="D41" s="6">
        <f>D35</f>
        <v>0.0021</v>
      </c>
      <c r="E41" s="14">
        <f>SUM(E32:E35)</f>
        <v>84442.718383464</v>
      </c>
      <c r="F41" s="48">
        <f>E41+F29</f>
        <v>349715.2552707213</v>
      </c>
    </row>
    <row r="43" spans="1:7" ht="13.5" thickBot="1">
      <c r="A43" s="33"/>
      <c r="B43" s="33"/>
      <c r="C43" s="33"/>
      <c r="D43" s="33"/>
      <c r="E43" s="33"/>
      <c r="F43" s="33"/>
      <c r="G43" s="33"/>
    </row>
    <row r="45" ht="18.75" thickBot="1">
      <c r="B45" s="30"/>
    </row>
    <row r="46" spans="2:4" ht="12.75">
      <c r="B46" s="15" t="s">
        <v>0</v>
      </c>
      <c r="C46" s="34">
        <f>D46*29.3071</f>
        <v>287209580</v>
      </c>
      <c r="D46" s="39">
        <f>D24</f>
        <v>9800000</v>
      </c>
    </row>
    <row r="47" spans="2:4" ht="13.5" thickBot="1">
      <c r="B47" s="16" t="s">
        <v>1</v>
      </c>
      <c r="C47" s="35">
        <f>D47*29.3071</f>
        <v>4595353.279999999</v>
      </c>
      <c r="D47" s="40">
        <f>D4</f>
        <v>156800</v>
      </c>
    </row>
    <row r="48" ht="12.75">
      <c r="B48" s="3"/>
    </row>
    <row r="49" spans="2:5" ht="16.5" thickBot="1">
      <c r="B49" s="43" t="s">
        <v>39</v>
      </c>
      <c r="C49" s="11" t="s">
        <v>8</v>
      </c>
      <c r="D49" s="8" t="s">
        <v>9</v>
      </c>
      <c r="E49" s="9" t="s">
        <v>13</v>
      </c>
    </row>
    <row r="50" spans="2:5" ht="12.75">
      <c r="B50" s="5" t="s">
        <v>5</v>
      </c>
      <c r="C50" s="6"/>
      <c r="D50" s="32">
        <v>0.0179</v>
      </c>
      <c r="E50" s="13">
        <f>D50*$C$47*365/100</f>
        <v>300237.40654879995</v>
      </c>
    </row>
    <row r="51" spans="2:7" ht="12.75">
      <c r="B51" s="5" t="s">
        <v>6</v>
      </c>
      <c r="C51" s="6"/>
      <c r="D51" s="32">
        <f>D29</f>
        <v>0.033386980000000004</v>
      </c>
      <c r="E51" s="13">
        <f>D51*$C$47*365/100</f>
        <v>560001.1333908746</v>
      </c>
      <c r="F51" s="41">
        <f>SUM(E50:E51)</f>
        <v>860238.5399396745</v>
      </c>
      <c r="G51" s="36">
        <f>F51/F56</f>
        <v>0.9458805769658241</v>
      </c>
    </row>
    <row r="52" spans="3:7" ht="12.75">
      <c r="C52" s="6"/>
      <c r="D52" s="6"/>
      <c r="E52" s="2"/>
      <c r="G52" s="4"/>
    </row>
    <row r="53" spans="3:7" ht="12.75">
      <c r="C53" s="6"/>
      <c r="D53" s="6"/>
      <c r="E53" s="2"/>
      <c r="G53" s="4"/>
    </row>
    <row r="54" spans="2:7" ht="12.75">
      <c r="B54" s="10" t="s">
        <v>2</v>
      </c>
      <c r="C54" s="12">
        <f>C32</f>
        <v>0.00423708</v>
      </c>
      <c r="D54" s="6"/>
      <c r="E54" s="13">
        <f>C54*C46/100</f>
        <v>12169.299672264</v>
      </c>
      <c r="G54" s="4"/>
    </row>
    <row r="55" spans="2:7" ht="12.75">
      <c r="B55" s="10" t="s">
        <v>3</v>
      </c>
      <c r="C55" s="12">
        <f>C33</f>
        <v>0.0129</v>
      </c>
      <c r="D55" s="6"/>
      <c r="E55" s="13">
        <f>C55*C46/100</f>
        <v>37050.03582</v>
      </c>
      <c r="F55" s="14">
        <f>SUM(E54:E55)</f>
        <v>49219.335492264</v>
      </c>
      <c r="G55" s="36">
        <f>F55/F56</f>
        <v>0.054119423034175974</v>
      </c>
    </row>
    <row r="56" spans="2:6" ht="12.75">
      <c r="B56" s="3"/>
      <c r="C56" s="6"/>
      <c r="D56" s="6"/>
      <c r="E56" s="14"/>
      <c r="F56" s="1">
        <f>SUM(F51:F55)</f>
        <v>909457.8754319386</v>
      </c>
    </row>
    <row r="57" spans="2:5" ht="12.75">
      <c r="B57" s="3" t="s">
        <v>10</v>
      </c>
      <c r="C57" s="6"/>
      <c r="D57" s="7">
        <f>D35</f>
        <v>0.0021</v>
      </c>
      <c r="E57" s="13">
        <f>D57*(C47)*365/100</f>
        <v>35223.382891199995</v>
      </c>
    </row>
    <row r="58" spans="2:5" ht="12.75">
      <c r="B58" s="3"/>
      <c r="C58" s="6"/>
      <c r="D58" s="6"/>
      <c r="E58" s="14"/>
    </row>
    <row r="59" spans="3:5" ht="12.75">
      <c r="C59" s="6"/>
      <c r="D59" s="6"/>
      <c r="E59" s="2"/>
    </row>
    <row r="60" spans="3:5" ht="13.5" thickBot="1">
      <c r="C60" s="6"/>
      <c r="D60" s="6"/>
      <c r="E60" s="2"/>
    </row>
    <row r="61" spans="3:6" ht="12.75">
      <c r="C61" s="6"/>
      <c r="D61" s="6"/>
      <c r="E61" s="2"/>
      <c r="F61" s="47" t="s">
        <v>36</v>
      </c>
    </row>
    <row r="62" spans="2:6" ht="12.75">
      <c r="B62" s="3" t="s">
        <v>7</v>
      </c>
      <c r="C62" s="7">
        <f>SUM(C50:C61)</f>
        <v>0.01713708</v>
      </c>
      <c r="D62" s="7">
        <f>SUM(D50:D61)</f>
        <v>0.05338698</v>
      </c>
      <c r="E62" s="14">
        <f>SUM(E50:E57)</f>
        <v>944681.2583231386</v>
      </c>
      <c r="F62" s="51"/>
    </row>
    <row r="63" spans="2:6" ht="13.5" thickBot="1">
      <c r="B63" s="3" t="s">
        <v>4</v>
      </c>
      <c r="C63" s="6"/>
      <c r="D63" s="6">
        <f>D57</f>
        <v>0.0021</v>
      </c>
      <c r="E63" s="14">
        <f>SUM(E54:E57)</f>
        <v>84442.718383464</v>
      </c>
      <c r="F63" s="48">
        <f>E63+F51</f>
        <v>944681.2583231386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SmartestEnergy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SmartestEnergy Limited</dc:creator>
  <cp:keywords/>
  <dc:description/>
  <cp:lastModifiedBy>U108924</cp:lastModifiedBy>
  <cp:lastPrinted>2008-05-12T14:56:15Z</cp:lastPrinted>
  <dcterms:created xsi:type="dcterms:W3CDTF">2008-02-11T10:43:13Z</dcterms:created>
  <dcterms:modified xsi:type="dcterms:W3CDTF">2008-05-16T12:30:32Z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