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5480" windowHeight="7500" activeTab="3"/>
  </bookViews>
  <sheets>
    <sheet name="NGD" sheetId="1" r:id="rId1"/>
    <sheet name="WWU" sheetId="2" r:id="rId2"/>
    <sheet name="SGN" sheetId="3" r:id="rId3"/>
    <sheet name="NG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<sst xmlns="http://schemas.openxmlformats.org/spreadsheetml/2006/main" count="351" uniqueCount="54">
  <si>
    <t>Cost data underlying the derivation of the charge for the Replacement cost element of the Proposed Mod 418 Customer Charge structure</t>
  </si>
  <si>
    <t>East of England DN</t>
  </si>
  <si>
    <t>Customer Charge Target Revenue =</t>
  </si>
  <si>
    <t>Derived from Customer:System methodology split applied to total target revenue</t>
  </si>
  <si>
    <t>Replacement cost proportion =</t>
  </si>
  <si>
    <t>Derived from cost analysis as shown in Mod 418 cost table</t>
  </si>
  <si>
    <t>Target Revenue for Replacement element</t>
  </si>
  <si>
    <t>REPEX</t>
  </si>
  <si>
    <t>07-08</t>
  </si>
  <si>
    <t>08-09</t>
  </si>
  <si>
    <t>09-10</t>
  </si>
  <si>
    <t>10-11</t>
  </si>
  <si>
    <t>average</t>
  </si>
  <si>
    <t>Domestic/</t>
  </si>
  <si>
    <t>Target Revenue £m</t>
  </si>
  <si>
    <t>Load Band</t>
  </si>
  <si>
    <t xml:space="preserve">Supply Points </t>
  </si>
  <si>
    <t>SP %</t>
  </si>
  <si>
    <t>Charge per Supply Point</t>
  </si>
  <si>
    <t>£m</t>
  </si>
  <si>
    <t>non-Dom %</t>
  </si>
  <si>
    <t>Allocated by  Cost Split</t>
  </si>
  <si>
    <t>£/Annum</t>
  </si>
  <si>
    <t>Domestic</t>
  </si>
  <si>
    <t>Services relaid</t>
  </si>
  <si>
    <t>A</t>
  </si>
  <si>
    <t>B</t>
  </si>
  <si>
    <t>=A/B</t>
  </si>
  <si>
    <t>services transferred</t>
  </si>
  <si>
    <t>Dom</t>
  </si>
  <si>
    <t>0-73.2 MWh/a</t>
  </si>
  <si>
    <t>Non-Dom</t>
  </si>
  <si>
    <t>non dom services</t>
  </si>
  <si>
    <t>Over 73.2 MWh/a</t>
  </si>
  <si>
    <t>Total  (£m)</t>
  </si>
  <si>
    <t>Total</t>
  </si>
  <si>
    <t>London DN</t>
  </si>
  <si>
    <t>North West DN</t>
  </si>
  <si>
    <t>West Midlands DN</t>
  </si>
  <si>
    <t>Mod 418: Supporting Data</t>
  </si>
  <si>
    <t>Apportionment of Replacement Element of Customer Charge Between Domestic and Non Domestic</t>
  </si>
  <si>
    <t>Wales &amp; West</t>
  </si>
  <si>
    <t>Taken from RRPs</t>
  </si>
  <si>
    <t>£mn</t>
  </si>
  <si>
    <t>Emergency Costs</t>
  </si>
  <si>
    <t>No hard evidence because we do not hold emergency cost data by supply point size or by type of property.</t>
  </si>
  <si>
    <t>However discussions with managers who are responsible for this area of work reveal that there is no correlation</t>
  </si>
  <si>
    <t>between emergency costs and supply point size.</t>
  </si>
  <si>
    <t>DNMSRA</t>
  </si>
  <si>
    <r>
      <t>£</t>
    </r>
    <r>
      <rPr>
        <b/>
        <sz val="10"/>
        <rFont val="Arial"/>
        <family val="2"/>
      </rPr>
      <t>mn</t>
    </r>
  </si>
  <si>
    <t>Scotland Gas Networks</t>
  </si>
  <si>
    <t>Southern Gas Networks</t>
  </si>
  <si>
    <t>Northern Gas Networks</t>
  </si>
  <si>
    <t>n/a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</si>
</sst>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0.0%"/>
    <numFmt numFmtId="167" formatCode="&quot;£&quot;#,##0.00"/>
    <numFmt numFmtId="168" formatCode="#,##0_ ;[Red]\-#,##0\ 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CG Omega"/>
      <family val="2"/>
    </font>
    <font>
      <sz val="10"/>
      <name val="CG Omega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center"/>
    </xf>
    <xf numFmtId="16" fontId="4" fillId="0" borderId="11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165" fontId="7" fillId="33" borderId="15" xfId="58" applyNumberFormat="1" applyFont="1" applyFill="1" applyBorder="1" applyAlignment="1" applyProtection="1">
      <alignment horizontal="center"/>
      <protection/>
    </xf>
    <xf numFmtId="165" fontId="8" fillId="33" borderId="15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6" fontId="8" fillId="33" borderId="15" xfId="57" applyNumberFormat="1" applyFont="1" applyFill="1" applyBorder="1" applyAlignment="1" applyProtection="1">
      <alignment horizontal="center"/>
      <protection/>
    </xf>
    <xf numFmtId="3" fontId="45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8" fillId="33" borderId="15" xfId="57" applyFont="1" applyFill="1" applyBorder="1" applyAlignment="1" applyProtection="1">
      <alignment horizontal="center"/>
      <protection/>
    </xf>
    <xf numFmtId="164" fontId="4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168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6" fontId="0" fillId="0" borderId="0" xfId="0" applyNumberForma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 quotePrefix="1">
      <alignment horizontal="center"/>
    </xf>
    <xf numFmtId="16" fontId="10" fillId="0" borderId="18" xfId="0" applyNumberFormat="1" applyFont="1" applyBorder="1" applyAlignment="1" quotePrefix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5" fillId="0" borderId="19" xfId="0" applyFont="1" applyBorder="1" applyAlignment="1">
      <alignment/>
    </xf>
    <xf numFmtId="165" fontId="7" fillId="34" borderId="18" xfId="59" applyNumberFormat="1" applyFont="1" applyFill="1" applyBorder="1" applyAlignment="1" applyProtection="1">
      <alignment horizontal="right"/>
      <protection/>
    </xf>
    <xf numFmtId="165" fontId="7" fillId="34" borderId="18" xfId="59" applyNumberFormat="1" applyFont="1" applyFill="1" applyBorder="1" applyAlignment="1" applyProtection="1">
      <alignment horizontal="center"/>
      <protection/>
    </xf>
    <xf numFmtId="165" fontId="7" fillId="34" borderId="19" xfId="59" applyNumberFormat="1" applyFont="1" applyFill="1" applyBorder="1" applyAlignment="1" applyProtection="1">
      <alignment horizontal="right"/>
      <protection/>
    </xf>
    <xf numFmtId="9" fontId="7" fillId="34" borderId="19" xfId="57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45" fillId="0" borderId="20" xfId="0" applyFont="1" applyBorder="1" applyAlignment="1">
      <alignment/>
    </xf>
    <xf numFmtId="165" fontId="7" fillId="34" borderId="20" xfId="59" applyNumberFormat="1" applyFont="1" applyFill="1" applyBorder="1" applyAlignment="1" applyProtection="1">
      <alignment horizontal="right"/>
      <protection/>
    </xf>
    <xf numFmtId="9" fontId="7" fillId="34" borderId="20" xfId="57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165" fontId="7" fillId="34" borderId="15" xfId="59" applyNumberFormat="1" applyFont="1" applyFill="1" applyBorder="1" applyAlignment="1" applyProtection="1">
      <alignment horizontal="right"/>
      <protection/>
    </xf>
    <xf numFmtId="9" fontId="7" fillId="34" borderId="15" xfId="57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6" fontId="0" fillId="35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1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&amp;%20REG%20Shared\Distribution%20Charges\cost%20reflectivity\Customer%20Charge\Customer%20Charge%20Analysis%20Allocations%20Master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ustomer cost allocations"/>
      <sheetName val="NGN 70 30 data"/>
      <sheetName val="Single Charge per SP"/>
      <sheetName val="Charge Based on Allocations"/>
      <sheetName val="market sector data"/>
      <sheetName val="xoserve SSP splits"/>
    </sheetNames>
    <sheetDataSet>
      <sheetData sheetId="1">
        <row r="20">
          <cell r="E20">
            <v>2473777</v>
          </cell>
          <cell r="F20">
            <v>31467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D19" sqref="D19"/>
    </sheetView>
  </sheetViews>
  <sheetFormatPr defaultColWidth="8.8515625" defaultRowHeight="15"/>
  <cols>
    <col min="1" max="1" width="11.28125" style="0" customWidth="1"/>
    <col min="2" max="2" width="18.8515625" style="0" bestFit="1" customWidth="1"/>
    <col min="3" max="3" width="8.8515625" style="0" customWidth="1"/>
    <col min="4" max="4" width="12.140625" style="0" bestFit="1" customWidth="1"/>
    <col min="5" max="7" width="8.8515625" style="0" customWidth="1"/>
    <col min="8" max="8" width="9.8515625" style="0" bestFit="1" customWidth="1"/>
    <col min="9" max="9" width="9.8515625" style="0" customWidth="1"/>
    <col min="10" max="10" width="21.00390625" style="0" customWidth="1"/>
    <col min="11" max="11" width="16.421875" style="0" bestFit="1" customWidth="1"/>
    <col min="12" max="12" width="12.8515625" style="0" customWidth="1"/>
    <col min="13" max="13" width="7.421875" style="0" customWidth="1"/>
  </cols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spans="1:5" ht="13.5">
      <c r="A4" s="2" t="s">
        <v>2</v>
      </c>
      <c r="D4" s="3">
        <v>161075018.50399882</v>
      </c>
      <c r="E4" t="s">
        <v>3</v>
      </c>
    </row>
    <row r="5" spans="1:5" ht="13.5">
      <c r="A5" s="2" t="s">
        <v>4</v>
      </c>
      <c r="D5" s="4">
        <v>0.2775300594171714</v>
      </c>
      <c r="E5" t="s">
        <v>5</v>
      </c>
    </row>
    <row r="6" spans="1:4" ht="13.5">
      <c r="A6" s="2" t="s">
        <v>6</v>
      </c>
      <c r="D6" s="3">
        <f>D4*D5</f>
        <v>44703159.45603678</v>
      </c>
    </row>
    <row r="8" spans="1:14" ht="13.5">
      <c r="A8" s="5" t="s">
        <v>7</v>
      </c>
      <c r="B8" s="6"/>
      <c r="C8" s="7" t="s">
        <v>8</v>
      </c>
      <c r="D8" s="8" t="s">
        <v>9</v>
      </c>
      <c r="E8" s="7" t="s">
        <v>10</v>
      </c>
      <c r="F8" s="8" t="s">
        <v>11</v>
      </c>
      <c r="G8" s="9" t="s">
        <v>12</v>
      </c>
      <c r="H8" s="10" t="s">
        <v>13</v>
      </c>
      <c r="I8" s="11"/>
      <c r="J8" t="s">
        <v>14</v>
      </c>
      <c r="K8" t="s">
        <v>15</v>
      </c>
      <c r="L8" t="s">
        <v>16</v>
      </c>
      <c r="M8" t="s">
        <v>17</v>
      </c>
      <c r="N8" t="s">
        <v>18</v>
      </c>
    </row>
    <row r="9" spans="1:14" ht="13.5">
      <c r="A9" s="12"/>
      <c r="B9" s="13"/>
      <c r="C9" s="14" t="s">
        <v>19</v>
      </c>
      <c r="D9" s="14" t="s">
        <v>19</v>
      </c>
      <c r="E9" s="14" t="s">
        <v>19</v>
      </c>
      <c r="F9" s="14" t="s">
        <v>19</v>
      </c>
      <c r="G9" s="14" t="s">
        <v>19</v>
      </c>
      <c r="H9" s="15" t="s">
        <v>20</v>
      </c>
      <c r="J9" s="14" t="s">
        <v>21</v>
      </c>
      <c r="N9" t="s">
        <v>22</v>
      </c>
    </row>
    <row r="10" spans="1:14" ht="13.5">
      <c r="A10" s="16" t="s">
        <v>23</v>
      </c>
      <c r="B10" s="13" t="s">
        <v>24</v>
      </c>
      <c r="C10" s="17">
        <v>26.801999999999992</v>
      </c>
      <c r="D10" s="17">
        <v>25.396999999999995</v>
      </c>
      <c r="E10" s="17">
        <v>25.541999999999998</v>
      </c>
      <c r="F10" s="17">
        <v>29.811</v>
      </c>
      <c r="G10" s="18">
        <f>AVERAGE(C10:F10)</f>
        <v>26.887999999999998</v>
      </c>
      <c r="H10" s="18"/>
      <c r="J10" s="19" t="s">
        <v>25</v>
      </c>
      <c r="L10" s="19" t="s">
        <v>26</v>
      </c>
      <c r="N10" s="20" t="s">
        <v>27</v>
      </c>
    </row>
    <row r="11" spans="1:14" ht="13.5">
      <c r="A11" s="16" t="s">
        <v>23</v>
      </c>
      <c r="B11" s="13" t="s">
        <v>28</v>
      </c>
      <c r="C11" s="17">
        <v>10.786</v>
      </c>
      <c r="D11" s="17">
        <v>12.139</v>
      </c>
      <c r="E11" s="17">
        <v>11.822000000000001</v>
      </c>
      <c r="F11" s="17">
        <v>11.203</v>
      </c>
      <c r="G11" s="18">
        <f>AVERAGE(C11:F11)</f>
        <v>11.4875</v>
      </c>
      <c r="H11" s="21">
        <f>SUM(G10:G11)/G13</f>
        <v>0.982934935037492</v>
      </c>
      <c r="I11" t="s">
        <v>29</v>
      </c>
      <c r="J11" s="3">
        <f>H11*J13</f>
        <v>43940297.135890156</v>
      </c>
      <c r="K11" t="s">
        <v>30</v>
      </c>
      <c r="L11" s="22">
        <v>3910038</v>
      </c>
      <c r="M11" s="23">
        <f>L11/L13</f>
        <v>0.9883659587827596</v>
      </c>
      <c r="N11" s="24">
        <f>J11/L11</f>
        <v>11.237818439588095</v>
      </c>
    </row>
    <row r="12" spans="1:14" ht="13.5">
      <c r="A12" s="16" t="s">
        <v>31</v>
      </c>
      <c r="B12" s="13" t="s">
        <v>32</v>
      </c>
      <c r="C12" s="17">
        <v>0.376</v>
      </c>
      <c r="D12" s="17">
        <v>0.555</v>
      </c>
      <c r="E12" s="17">
        <v>0.469</v>
      </c>
      <c r="F12" s="17">
        <v>1.265</v>
      </c>
      <c r="G12" s="18">
        <f>AVERAGE(C12:F12)</f>
        <v>0.66625</v>
      </c>
      <c r="H12" s="21">
        <f>G12/G13</f>
        <v>0.017065064962508085</v>
      </c>
      <c r="I12" t="s">
        <v>31</v>
      </c>
      <c r="J12" s="3">
        <f>H12*J13</f>
        <v>762862.3201466252</v>
      </c>
      <c r="K12" t="s">
        <v>33</v>
      </c>
      <c r="L12" s="22">
        <v>46025</v>
      </c>
      <c r="M12" s="23">
        <f>L12/L13</f>
        <v>0.011634041217240473</v>
      </c>
      <c r="N12" s="24">
        <f>J12/L12</f>
        <v>16.57495535353884</v>
      </c>
    </row>
    <row r="13" spans="1:14" ht="13.5">
      <c r="A13" s="25"/>
      <c r="B13" s="26" t="s">
        <v>34</v>
      </c>
      <c r="C13" s="18">
        <f aca="true" t="shared" si="0" ref="C13:H13">SUM(C10:C12)</f>
        <v>37.96399999999999</v>
      </c>
      <c r="D13" s="18">
        <f t="shared" si="0"/>
        <v>38.090999999999994</v>
      </c>
      <c r="E13" s="18">
        <f t="shared" si="0"/>
        <v>37.833</v>
      </c>
      <c r="F13" s="18">
        <f t="shared" si="0"/>
        <v>42.278999999999996</v>
      </c>
      <c r="G13" s="18">
        <f t="shared" si="0"/>
        <v>39.04175</v>
      </c>
      <c r="H13" s="27">
        <f t="shared" si="0"/>
        <v>1</v>
      </c>
      <c r="I13" t="s">
        <v>35</v>
      </c>
      <c r="J13" s="28">
        <f>D6</f>
        <v>44703159.45603678</v>
      </c>
      <c r="K13" t="s">
        <v>35</v>
      </c>
      <c r="L13" s="29">
        <f>L11+L12</f>
        <v>3956063</v>
      </c>
      <c r="M13" s="23">
        <f>L13/L13</f>
        <v>1</v>
      </c>
      <c r="N13" s="24"/>
    </row>
    <row r="17" ht="13.5">
      <c r="A17" s="1" t="s">
        <v>36</v>
      </c>
    </row>
    <row r="18" spans="1:5" ht="13.5">
      <c r="A18" s="2" t="s">
        <v>2</v>
      </c>
      <c r="D18" s="3">
        <v>121159119.44572796</v>
      </c>
      <c r="E18" t="s">
        <v>3</v>
      </c>
    </row>
    <row r="19" spans="1:5" ht="13.5">
      <c r="A19" s="2" t="s">
        <v>4</v>
      </c>
      <c r="D19" s="4">
        <v>0.27222350955268243</v>
      </c>
      <c r="E19" t="s">
        <v>5</v>
      </c>
    </row>
    <row r="20" spans="1:4" ht="13.5">
      <c r="A20" s="2" t="s">
        <v>6</v>
      </c>
      <c r="D20" s="3">
        <f>D18*D19</f>
        <v>32982360.709828716</v>
      </c>
    </row>
    <row r="22" spans="1:14" ht="13.5">
      <c r="A22" s="5" t="s">
        <v>7</v>
      </c>
      <c r="B22" s="6"/>
      <c r="C22" s="7" t="s">
        <v>8</v>
      </c>
      <c r="D22" s="8" t="s">
        <v>9</v>
      </c>
      <c r="E22" s="7" t="s">
        <v>10</v>
      </c>
      <c r="F22" s="8" t="s">
        <v>11</v>
      </c>
      <c r="G22" s="9" t="s">
        <v>12</v>
      </c>
      <c r="H22" s="10" t="s">
        <v>13</v>
      </c>
      <c r="I22" s="11"/>
      <c r="J22" t="s">
        <v>14</v>
      </c>
      <c r="K22" t="s">
        <v>15</v>
      </c>
      <c r="L22" t="s">
        <v>16</v>
      </c>
      <c r="M22" t="s">
        <v>17</v>
      </c>
      <c r="N22" t="s">
        <v>18</v>
      </c>
    </row>
    <row r="23" spans="1:14" ht="13.5">
      <c r="A23" s="12"/>
      <c r="B23" s="13"/>
      <c r="C23" s="14" t="s">
        <v>19</v>
      </c>
      <c r="D23" s="14" t="s">
        <v>19</v>
      </c>
      <c r="E23" s="14" t="s">
        <v>19</v>
      </c>
      <c r="F23" s="14" t="s">
        <v>19</v>
      </c>
      <c r="G23" s="14" t="s">
        <v>19</v>
      </c>
      <c r="H23" s="15" t="s">
        <v>20</v>
      </c>
      <c r="J23" s="14" t="s">
        <v>21</v>
      </c>
      <c r="N23" t="s">
        <v>22</v>
      </c>
    </row>
    <row r="24" spans="1:14" ht="13.5">
      <c r="A24" s="16" t="s">
        <v>23</v>
      </c>
      <c r="B24" s="13" t="s">
        <v>24</v>
      </c>
      <c r="C24" s="17">
        <v>20.547</v>
      </c>
      <c r="D24" s="17">
        <v>32.793000000000006</v>
      </c>
      <c r="E24" s="17">
        <v>32.224000000000004</v>
      </c>
      <c r="F24" s="17">
        <v>40.57</v>
      </c>
      <c r="G24" s="18">
        <f>AVERAGE(C24:F24)</f>
        <v>31.533500000000004</v>
      </c>
      <c r="H24" s="18"/>
      <c r="J24" s="19" t="s">
        <v>25</v>
      </c>
      <c r="L24" s="19" t="s">
        <v>26</v>
      </c>
      <c r="N24" s="20" t="s">
        <v>27</v>
      </c>
    </row>
    <row r="25" spans="1:14" ht="13.5">
      <c r="A25" s="16" t="s">
        <v>23</v>
      </c>
      <c r="B25" s="13" t="s">
        <v>28</v>
      </c>
      <c r="C25" s="17">
        <v>5.279</v>
      </c>
      <c r="D25" s="17">
        <v>8.455</v>
      </c>
      <c r="E25" s="17">
        <v>5.177</v>
      </c>
      <c r="F25" s="17">
        <v>4.577000000000001</v>
      </c>
      <c r="G25" s="18">
        <f>AVERAGE(C25:F25)</f>
        <v>5.872000000000001</v>
      </c>
      <c r="H25" s="21">
        <f>SUM(G24:G25)/G27</f>
        <v>0.9847439778860075</v>
      </c>
      <c r="I25" t="s">
        <v>29</v>
      </c>
      <c r="J25" s="3">
        <f>H25*J27</f>
        <v>32479181.085467894</v>
      </c>
      <c r="K25" t="s">
        <v>30</v>
      </c>
      <c r="L25" s="22">
        <v>2237806</v>
      </c>
      <c r="M25" s="23">
        <f>L25/L27</f>
        <v>0.9839269210442313</v>
      </c>
      <c r="N25" s="24">
        <f>J25/L25</f>
        <v>14.513850211085275</v>
      </c>
    </row>
    <row r="26" spans="1:14" ht="13.5">
      <c r="A26" s="16" t="s">
        <v>31</v>
      </c>
      <c r="B26" s="13" t="s">
        <v>32</v>
      </c>
      <c r="C26" s="17">
        <v>0.573</v>
      </c>
      <c r="D26" s="17">
        <v>0.239</v>
      </c>
      <c r="E26" s="17">
        <v>0.473</v>
      </c>
      <c r="F26" s="17">
        <v>1.033</v>
      </c>
      <c r="G26" s="18">
        <f>AVERAGE(C26:F26)</f>
        <v>0.5794999999999999</v>
      </c>
      <c r="H26" s="21">
        <f>G26/G27</f>
        <v>0.01525602211399236</v>
      </c>
      <c r="I26" t="s">
        <v>31</v>
      </c>
      <c r="J26" s="3">
        <f>H26*J27</f>
        <v>503179.62436081964</v>
      </c>
      <c r="K26" t="s">
        <v>33</v>
      </c>
      <c r="L26" s="22">
        <v>36556</v>
      </c>
      <c r="M26" s="23">
        <f>L26/L27</f>
        <v>0.016073078955768694</v>
      </c>
      <c r="N26" s="24">
        <f>J26/L26</f>
        <v>13.764624804705647</v>
      </c>
    </row>
    <row r="27" spans="1:14" ht="13.5">
      <c r="A27" s="25"/>
      <c r="B27" s="26" t="s">
        <v>34</v>
      </c>
      <c r="C27" s="18">
        <f aca="true" t="shared" si="1" ref="C27:H27">SUM(C24:C26)</f>
        <v>26.399</v>
      </c>
      <c r="D27" s="18">
        <f t="shared" si="1"/>
        <v>41.487</v>
      </c>
      <c r="E27" s="18">
        <f t="shared" si="1"/>
        <v>37.874</v>
      </c>
      <c r="F27" s="18">
        <f t="shared" si="1"/>
        <v>46.18</v>
      </c>
      <c r="G27" s="18">
        <f t="shared" si="1"/>
        <v>37.98500000000001</v>
      </c>
      <c r="H27" s="27">
        <f t="shared" si="1"/>
        <v>0.9999999999999999</v>
      </c>
      <c r="I27" t="s">
        <v>35</v>
      </c>
      <c r="J27" s="28">
        <f>D20</f>
        <v>32982360.709828716</v>
      </c>
      <c r="K27" t="s">
        <v>35</v>
      </c>
      <c r="L27" s="29">
        <f>L25+L26</f>
        <v>2274362</v>
      </c>
      <c r="M27" s="23">
        <f>L27/L27</f>
        <v>1</v>
      </c>
      <c r="N27" s="24"/>
    </row>
    <row r="31" ht="13.5">
      <c r="A31" s="1" t="s">
        <v>37</v>
      </c>
    </row>
    <row r="32" spans="1:5" ht="13.5">
      <c r="A32" s="2" t="s">
        <v>2</v>
      </c>
      <c r="D32" s="3">
        <v>101544859.4702688</v>
      </c>
      <c r="E32" t="s">
        <v>3</v>
      </c>
    </row>
    <row r="33" spans="1:5" ht="13.5">
      <c r="A33" s="2" t="s">
        <v>4</v>
      </c>
      <c r="D33" s="4">
        <v>0.3449981851384557</v>
      </c>
      <c r="E33" t="s">
        <v>5</v>
      </c>
    </row>
    <row r="34" spans="1:4" ht="13.5">
      <c r="A34" s="2" t="s">
        <v>6</v>
      </c>
      <c r="D34" s="3">
        <f>D32*D33</f>
        <v>35032792.227382265</v>
      </c>
    </row>
    <row r="36" spans="1:14" ht="13.5">
      <c r="A36" s="5" t="s">
        <v>7</v>
      </c>
      <c r="B36" s="6"/>
      <c r="C36" s="7" t="s">
        <v>8</v>
      </c>
      <c r="D36" s="8" t="s">
        <v>9</v>
      </c>
      <c r="E36" s="7" t="s">
        <v>10</v>
      </c>
      <c r="F36" s="8" t="s">
        <v>11</v>
      </c>
      <c r="G36" s="9" t="s">
        <v>12</v>
      </c>
      <c r="H36" s="10" t="s">
        <v>13</v>
      </c>
      <c r="I36" s="11"/>
      <c r="J36" t="s">
        <v>14</v>
      </c>
      <c r="K36" t="s">
        <v>15</v>
      </c>
      <c r="L36" t="s">
        <v>16</v>
      </c>
      <c r="M36" t="s">
        <v>17</v>
      </c>
      <c r="N36" t="s">
        <v>18</v>
      </c>
    </row>
    <row r="37" spans="1:14" ht="13.5">
      <c r="A37" s="12"/>
      <c r="B37" s="13"/>
      <c r="C37" s="14" t="s">
        <v>19</v>
      </c>
      <c r="D37" s="14" t="s">
        <v>19</v>
      </c>
      <c r="E37" s="14" t="s">
        <v>19</v>
      </c>
      <c r="F37" s="14" t="s">
        <v>19</v>
      </c>
      <c r="G37" s="14" t="s">
        <v>19</v>
      </c>
      <c r="H37" s="15" t="s">
        <v>20</v>
      </c>
      <c r="J37" s="14" t="s">
        <v>21</v>
      </c>
      <c r="N37" t="s">
        <v>22</v>
      </c>
    </row>
    <row r="38" spans="1:14" ht="13.5">
      <c r="A38" s="16" t="s">
        <v>23</v>
      </c>
      <c r="B38" s="13" t="s">
        <v>24</v>
      </c>
      <c r="C38" s="17">
        <v>20.509</v>
      </c>
      <c r="D38" s="17">
        <v>20.480999999999998</v>
      </c>
      <c r="E38" s="17">
        <v>20.443</v>
      </c>
      <c r="F38" s="17">
        <v>25.517999999999997</v>
      </c>
      <c r="G38" s="18">
        <f>AVERAGE(C38:F38)</f>
        <v>21.73775</v>
      </c>
      <c r="H38" s="18"/>
      <c r="J38" s="19" t="s">
        <v>25</v>
      </c>
      <c r="L38" s="19" t="s">
        <v>26</v>
      </c>
      <c r="N38" s="20" t="s">
        <v>27</v>
      </c>
    </row>
    <row r="39" spans="1:14" ht="13.5">
      <c r="A39" s="16" t="s">
        <v>23</v>
      </c>
      <c r="B39" s="13" t="s">
        <v>28</v>
      </c>
      <c r="C39" s="17">
        <v>4.136</v>
      </c>
      <c r="D39" s="17">
        <v>5.590999999999999</v>
      </c>
      <c r="E39" s="17">
        <v>6.443</v>
      </c>
      <c r="F39" s="17">
        <v>6.958</v>
      </c>
      <c r="G39" s="18">
        <f>AVERAGE(C39:F39)</f>
        <v>5.782</v>
      </c>
      <c r="H39" s="21">
        <f>SUM(G38:G39)/G41</f>
        <v>0.9821466809421842</v>
      </c>
      <c r="I39" t="s">
        <v>29</v>
      </c>
      <c r="J39" s="3">
        <f>H39*J41</f>
        <v>34407340.610260636</v>
      </c>
      <c r="K39" t="s">
        <v>30</v>
      </c>
      <c r="L39" s="22">
        <v>2637744</v>
      </c>
      <c r="M39" s="23">
        <f>L39/L41</f>
        <v>0.9882096421607102</v>
      </c>
      <c r="N39" s="24">
        <f>J39/L39</f>
        <v>13.04423045233375</v>
      </c>
    </row>
    <row r="40" spans="1:14" ht="13.5">
      <c r="A40" s="16" t="s">
        <v>31</v>
      </c>
      <c r="B40" s="13" t="s">
        <v>32</v>
      </c>
      <c r="C40" s="17">
        <v>0.16</v>
      </c>
      <c r="D40" s="17">
        <v>0.23299999999999998</v>
      </c>
      <c r="E40" s="17">
        <v>0.547</v>
      </c>
      <c r="F40" s="17">
        <v>1.061</v>
      </c>
      <c r="G40" s="18">
        <f>AVERAGE(C40:F40)</f>
        <v>0.50025</v>
      </c>
      <c r="H40" s="21">
        <f>G40/G41</f>
        <v>0.017853319057815845</v>
      </c>
      <c r="I40" t="s">
        <v>31</v>
      </c>
      <c r="J40" s="3">
        <f>H40*J41</f>
        <v>625451.6171216266</v>
      </c>
      <c r="K40" t="s">
        <v>33</v>
      </c>
      <c r="L40" s="22">
        <v>31471</v>
      </c>
      <c r="M40" s="23">
        <f>L40/L41</f>
        <v>0.011790357839289828</v>
      </c>
      <c r="N40" s="24">
        <f>J40/L40</f>
        <v>19.873903502323618</v>
      </c>
    </row>
    <row r="41" spans="1:14" ht="13.5">
      <c r="A41" s="25"/>
      <c r="B41" s="26" t="s">
        <v>34</v>
      </c>
      <c r="C41" s="18">
        <f aca="true" t="shared" si="2" ref="C41:H41">SUM(C38:C40)</f>
        <v>24.805</v>
      </c>
      <c r="D41" s="18">
        <f t="shared" si="2"/>
        <v>26.304999999999996</v>
      </c>
      <c r="E41" s="18">
        <f t="shared" si="2"/>
        <v>27.433000000000003</v>
      </c>
      <c r="F41" s="18">
        <f t="shared" si="2"/>
        <v>33.537</v>
      </c>
      <c r="G41" s="18">
        <f t="shared" si="2"/>
        <v>28.02</v>
      </c>
      <c r="H41" s="27">
        <f t="shared" si="2"/>
        <v>1</v>
      </c>
      <c r="I41" t="s">
        <v>35</v>
      </c>
      <c r="J41" s="28">
        <f>D34</f>
        <v>35032792.227382265</v>
      </c>
      <c r="K41" t="s">
        <v>35</v>
      </c>
      <c r="L41" s="29">
        <f>L39+L40</f>
        <v>2669215</v>
      </c>
      <c r="M41" s="23">
        <f>L41/L41</f>
        <v>1</v>
      </c>
      <c r="N41" s="24"/>
    </row>
    <row r="45" ht="13.5">
      <c r="A45" s="1" t="s">
        <v>38</v>
      </c>
    </row>
    <row r="46" spans="1:5" ht="13.5">
      <c r="A46" s="2" t="s">
        <v>2</v>
      </c>
      <c r="D46" s="3">
        <v>77852354.64711502</v>
      </c>
      <c r="E46" t="s">
        <v>3</v>
      </c>
    </row>
    <row r="47" spans="1:5" ht="13.5">
      <c r="A47" s="2" t="s">
        <v>4</v>
      </c>
      <c r="D47" s="4">
        <v>0.346414754940325</v>
      </c>
      <c r="E47" t="s">
        <v>5</v>
      </c>
    </row>
    <row r="48" spans="1:4" ht="13.5">
      <c r="A48" s="2" t="s">
        <v>6</v>
      </c>
      <c r="D48" s="3">
        <f>D46*D47</f>
        <v>26969204.35660762</v>
      </c>
    </row>
    <row r="50" spans="1:14" ht="13.5">
      <c r="A50" s="5" t="s">
        <v>7</v>
      </c>
      <c r="B50" s="6"/>
      <c r="C50" s="7" t="s">
        <v>8</v>
      </c>
      <c r="D50" s="8" t="s">
        <v>9</v>
      </c>
      <c r="E50" s="7" t="s">
        <v>10</v>
      </c>
      <c r="F50" s="8" t="s">
        <v>11</v>
      </c>
      <c r="G50" s="9" t="s">
        <v>12</v>
      </c>
      <c r="H50" s="10" t="s">
        <v>13</v>
      </c>
      <c r="I50" s="11"/>
      <c r="J50" t="s">
        <v>14</v>
      </c>
      <c r="K50" t="s">
        <v>15</v>
      </c>
      <c r="L50" t="s">
        <v>16</v>
      </c>
      <c r="M50" t="s">
        <v>17</v>
      </c>
      <c r="N50" t="s">
        <v>18</v>
      </c>
    </row>
    <row r="51" spans="1:14" ht="13.5">
      <c r="A51" s="12"/>
      <c r="B51" s="13"/>
      <c r="C51" s="14" t="s">
        <v>19</v>
      </c>
      <c r="D51" s="14" t="s">
        <v>19</v>
      </c>
      <c r="E51" s="14" t="s">
        <v>19</v>
      </c>
      <c r="F51" s="14" t="s">
        <v>19</v>
      </c>
      <c r="G51" s="14" t="s">
        <v>19</v>
      </c>
      <c r="H51" s="15" t="s">
        <v>20</v>
      </c>
      <c r="J51" s="14" t="s">
        <v>21</v>
      </c>
      <c r="N51" t="s">
        <v>22</v>
      </c>
    </row>
    <row r="52" spans="1:14" ht="13.5">
      <c r="A52" s="16" t="s">
        <v>23</v>
      </c>
      <c r="B52" s="13" t="s">
        <v>24</v>
      </c>
      <c r="C52" s="17">
        <v>15.809</v>
      </c>
      <c r="D52" s="17">
        <v>13.934000000000001</v>
      </c>
      <c r="E52" s="17">
        <v>17.728</v>
      </c>
      <c r="F52" s="17">
        <v>16.713000000000005</v>
      </c>
      <c r="G52" s="18">
        <f>AVERAGE(C52:F52)</f>
        <v>16.046000000000003</v>
      </c>
      <c r="H52" s="18"/>
      <c r="J52" s="19" t="s">
        <v>25</v>
      </c>
      <c r="L52" s="19" t="s">
        <v>26</v>
      </c>
      <c r="N52" s="20" t="s">
        <v>27</v>
      </c>
    </row>
    <row r="53" spans="1:14" ht="13.5">
      <c r="A53" s="16" t="s">
        <v>23</v>
      </c>
      <c r="B53" s="13" t="s">
        <v>28</v>
      </c>
      <c r="C53" s="17">
        <v>4.8740000000000006</v>
      </c>
      <c r="D53" s="17">
        <v>7.629</v>
      </c>
      <c r="E53" s="17">
        <v>8.061</v>
      </c>
      <c r="F53" s="17">
        <v>6.068</v>
      </c>
      <c r="G53" s="18">
        <f>AVERAGE(C53:F53)</f>
        <v>6.6579999999999995</v>
      </c>
      <c r="H53" s="21">
        <f>SUM(G52:G53)/G55</f>
        <v>0.9688590174427909</v>
      </c>
      <c r="I53" t="s">
        <v>29</v>
      </c>
      <c r="J53" s="3">
        <f>H53*J55</f>
        <v>26129356.834156696</v>
      </c>
      <c r="K53" t="s">
        <v>30</v>
      </c>
      <c r="L53" s="22">
        <v>1924847</v>
      </c>
      <c r="M53" s="23">
        <f>L53/L55</f>
        <v>0.9880079662870019</v>
      </c>
      <c r="N53" s="24">
        <f>J53/L53</f>
        <v>13.574770791733938</v>
      </c>
    </row>
    <row r="54" spans="1:14" ht="13.5">
      <c r="A54" s="16" t="s">
        <v>31</v>
      </c>
      <c r="B54" s="13" t="s">
        <v>32</v>
      </c>
      <c r="C54" s="17">
        <v>0.234</v>
      </c>
      <c r="D54" s="17">
        <v>0.446</v>
      </c>
      <c r="E54" s="17">
        <v>0.9139999999999999</v>
      </c>
      <c r="F54" s="17">
        <v>1.325</v>
      </c>
      <c r="G54" s="18">
        <f>AVERAGE(C54:F54)</f>
        <v>0.7297499999999999</v>
      </c>
      <c r="H54" s="21">
        <f>G54/G55</f>
        <v>0.031140982557209148</v>
      </c>
      <c r="I54" t="s">
        <v>31</v>
      </c>
      <c r="J54" s="3">
        <f>H54*J55</f>
        <v>839847.5224509268</v>
      </c>
      <c r="K54" t="s">
        <v>33</v>
      </c>
      <c r="L54" s="22">
        <v>23363</v>
      </c>
      <c r="M54" s="23">
        <f>L54/L55</f>
        <v>0.011992033712998085</v>
      </c>
      <c r="N54" s="24">
        <f>J54/L54</f>
        <v>35.94776023845083</v>
      </c>
    </row>
    <row r="55" spans="1:14" ht="13.5">
      <c r="A55" s="25"/>
      <c r="B55" s="26" t="s">
        <v>34</v>
      </c>
      <c r="C55" s="18">
        <f aca="true" t="shared" si="3" ref="C55:H55">SUM(C52:C54)</f>
        <v>20.917</v>
      </c>
      <c r="D55" s="18">
        <f t="shared" si="3"/>
        <v>22.009000000000004</v>
      </c>
      <c r="E55" s="18">
        <f t="shared" si="3"/>
        <v>26.703000000000003</v>
      </c>
      <c r="F55" s="18">
        <f t="shared" si="3"/>
        <v>24.106000000000005</v>
      </c>
      <c r="G55" s="18">
        <f t="shared" si="3"/>
        <v>23.43375</v>
      </c>
      <c r="H55" s="27">
        <f t="shared" si="3"/>
        <v>1</v>
      </c>
      <c r="I55" t="s">
        <v>35</v>
      </c>
      <c r="J55" s="28">
        <f>D48</f>
        <v>26969204.35660762</v>
      </c>
      <c r="K55" t="s">
        <v>35</v>
      </c>
      <c r="L55" s="29">
        <f>L53+L54</f>
        <v>1948210</v>
      </c>
      <c r="M55" s="23">
        <f>L55/L55</f>
        <v>1</v>
      </c>
      <c r="N55" s="24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E11" sqref="E11"/>
    </sheetView>
  </sheetViews>
  <sheetFormatPr defaultColWidth="8.8515625" defaultRowHeight="15"/>
  <cols>
    <col min="1" max="1" width="8.8515625" style="0" customWidth="1"/>
    <col min="2" max="2" width="41.7109375" style="0" customWidth="1"/>
    <col min="3" max="3" width="24.140625" style="0" bestFit="1" customWidth="1"/>
    <col min="4" max="4" width="8.8515625" style="0" customWidth="1"/>
    <col min="5" max="5" width="12.140625" style="0" bestFit="1" customWidth="1"/>
    <col min="6" max="10" width="8.8515625" style="0" customWidth="1"/>
    <col min="11" max="11" width="20.8515625" style="0" bestFit="1" customWidth="1"/>
    <col min="12" max="12" width="16.421875" style="0" bestFit="1" customWidth="1"/>
    <col min="13" max="13" width="18.421875" style="0" customWidth="1"/>
    <col min="14" max="14" width="8.8515625" style="0" customWidth="1"/>
    <col min="15" max="15" width="22.421875" style="0" bestFit="1" customWidth="1"/>
  </cols>
  <sheetData>
    <row r="1" ht="13.5">
      <c r="A1" s="1" t="s">
        <v>0</v>
      </c>
    </row>
    <row r="4" ht="13.5">
      <c r="C4" s="30" t="s">
        <v>39</v>
      </c>
    </row>
    <row r="5" spans="4:5" ht="13.5">
      <c r="D5" s="13"/>
      <c r="E5" s="31"/>
    </row>
    <row r="6" spans="4:5" ht="13.5">
      <c r="D6" s="13"/>
      <c r="E6" s="31"/>
    </row>
    <row r="7" spans="2:5" ht="13.5">
      <c r="B7" s="32" t="s">
        <v>40</v>
      </c>
      <c r="D7" s="13"/>
      <c r="E7" s="31"/>
    </row>
    <row r="8" spans="4:5" ht="13.5">
      <c r="D8" s="13"/>
      <c r="E8" s="31"/>
    </row>
    <row r="9" ht="13.5">
      <c r="B9" s="1" t="s">
        <v>41</v>
      </c>
    </row>
    <row r="10" spans="2:6" ht="13.5">
      <c r="B10" s="2" t="s">
        <v>2</v>
      </c>
      <c r="E10" s="33">
        <v>101417421.95832339</v>
      </c>
      <c r="F10" t="s">
        <v>3</v>
      </c>
    </row>
    <row r="11" spans="2:6" ht="13.5">
      <c r="B11" s="2" t="s">
        <v>4</v>
      </c>
      <c r="E11" s="4">
        <v>0.37503747682078875</v>
      </c>
      <c r="F11" t="s">
        <v>5</v>
      </c>
    </row>
    <row r="12" spans="2:5" ht="13.5">
      <c r="B12" s="2" t="s">
        <v>6</v>
      </c>
      <c r="E12" s="3">
        <f>E10*E11</f>
        <v>38035334.03691886</v>
      </c>
    </row>
    <row r="16" spans="2:15" ht="13.5">
      <c r="B16" s="34" t="s">
        <v>7</v>
      </c>
      <c r="C16" s="35"/>
      <c r="D16" s="36" t="s">
        <v>8</v>
      </c>
      <c r="E16" s="37" t="s">
        <v>9</v>
      </c>
      <c r="F16" s="36" t="s">
        <v>10</v>
      </c>
      <c r="G16" s="37" t="s">
        <v>11</v>
      </c>
      <c r="H16" s="38" t="s">
        <v>12</v>
      </c>
      <c r="I16" s="38" t="s">
        <v>13</v>
      </c>
      <c r="J16" s="11"/>
      <c r="K16" t="s">
        <v>14</v>
      </c>
      <c r="L16" t="s">
        <v>15</v>
      </c>
      <c r="M16" t="s">
        <v>16</v>
      </c>
      <c r="N16" t="s">
        <v>17</v>
      </c>
      <c r="O16" t="s">
        <v>18</v>
      </c>
    </row>
    <row r="17" spans="2:15" ht="13.5">
      <c r="B17" s="39"/>
      <c r="C17" s="40" t="s">
        <v>42</v>
      </c>
      <c r="D17" s="41" t="s">
        <v>43</v>
      </c>
      <c r="E17" s="41" t="s">
        <v>43</v>
      </c>
      <c r="F17" s="41" t="s">
        <v>43</v>
      </c>
      <c r="G17" s="41" t="s">
        <v>43</v>
      </c>
      <c r="H17" s="41" t="s">
        <v>43</v>
      </c>
      <c r="I17" s="42" t="s">
        <v>20</v>
      </c>
      <c r="K17" s="14" t="s">
        <v>21</v>
      </c>
      <c r="O17" t="s">
        <v>22</v>
      </c>
    </row>
    <row r="18" spans="2:15" ht="13.5">
      <c r="B18" s="43" t="s">
        <v>23</v>
      </c>
      <c r="C18" s="43" t="s">
        <v>24</v>
      </c>
      <c r="D18" s="44">
        <v>19.1</v>
      </c>
      <c r="E18" s="44">
        <f>13.4804159949491+5.8</f>
        <v>19.2804159949491</v>
      </c>
      <c r="F18" s="44">
        <f>10.1561493046493+8</f>
        <v>18.1561493046493</v>
      </c>
      <c r="G18" s="44">
        <f>10.5134422282103+6</f>
        <v>16.5134422282103</v>
      </c>
      <c r="H18" s="44">
        <f>AVERAGE(D18:G18)</f>
        <v>18.262501881952176</v>
      </c>
      <c r="I18" s="45"/>
      <c r="K18" s="19" t="s">
        <v>25</v>
      </c>
      <c r="M18" s="19" t="s">
        <v>26</v>
      </c>
      <c r="O18" s="20" t="s">
        <v>27</v>
      </c>
    </row>
    <row r="19" spans="2:15" ht="13.5">
      <c r="B19" s="43" t="s">
        <v>23</v>
      </c>
      <c r="C19" s="43" t="s">
        <v>28</v>
      </c>
      <c r="D19" s="46">
        <v>6.332840037665255</v>
      </c>
      <c r="E19" s="46">
        <v>4.108989610182208</v>
      </c>
      <c r="F19" s="46">
        <v>4.313819153705904</v>
      </c>
      <c r="G19" s="46">
        <v>5.853531217021295</v>
      </c>
      <c r="H19" s="46">
        <f>AVERAGE(D19:G19)</f>
        <v>5.1522950046436655</v>
      </c>
      <c r="I19" s="47">
        <f>SUM(H18:H19)/H21</f>
        <v>0.9417110710683702</v>
      </c>
      <c r="J19" t="s">
        <v>29</v>
      </c>
      <c r="K19" s="3">
        <f>I19*K21</f>
        <v>35818295.1543501</v>
      </c>
      <c r="L19" t="s">
        <v>30</v>
      </c>
      <c r="M19" s="48">
        <v>2435405</v>
      </c>
      <c r="N19" s="23">
        <f>M19/M21</f>
        <v>0.9892978615627657</v>
      </c>
      <c r="O19" s="24">
        <f>K19/M19</f>
        <v>14.70732594962649</v>
      </c>
    </row>
    <row r="20" spans="2:15" ht="13.5">
      <c r="B20" s="43" t="s">
        <v>31</v>
      </c>
      <c r="C20" s="49" t="s">
        <v>32</v>
      </c>
      <c r="D20" s="50">
        <v>0.2068479975956523</v>
      </c>
      <c r="E20" s="50">
        <v>1.4057768224561125</v>
      </c>
      <c r="F20" s="50">
        <v>1.9020831469735748</v>
      </c>
      <c r="G20" s="50">
        <v>2.282498728752137</v>
      </c>
      <c r="H20" s="50">
        <f>AVERAGE(D20:G20)</f>
        <v>1.4493016739443692</v>
      </c>
      <c r="I20" s="51">
        <f>100%-I19</f>
        <v>0.058288928931629846</v>
      </c>
      <c r="J20" t="s">
        <v>31</v>
      </c>
      <c r="K20" s="3">
        <f>I20*K21</f>
        <v>2217038.8825687654</v>
      </c>
      <c r="L20" t="s">
        <v>33</v>
      </c>
      <c r="M20" s="48">
        <v>26346</v>
      </c>
      <c r="N20" s="23">
        <f>M20/M21</f>
        <v>0.01070213843723431</v>
      </c>
      <c r="O20" s="24">
        <f>K20/M20</f>
        <v>84.15087233617116</v>
      </c>
    </row>
    <row r="21" spans="2:15" ht="13.5">
      <c r="B21" s="52"/>
      <c r="C21" s="49" t="s">
        <v>35</v>
      </c>
      <c r="D21" s="53">
        <f aca="true" t="shared" si="0" ref="D21:I21">SUM(D18:D20)</f>
        <v>25.63968803526091</v>
      </c>
      <c r="E21" s="53">
        <f t="shared" si="0"/>
        <v>24.79518242758742</v>
      </c>
      <c r="F21" s="53">
        <f t="shared" si="0"/>
        <v>24.372051605328778</v>
      </c>
      <c r="G21" s="53">
        <f t="shared" si="0"/>
        <v>24.649472173983735</v>
      </c>
      <c r="H21" s="53">
        <f t="shared" si="0"/>
        <v>24.86409856054021</v>
      </c>
      <c r="I21" s="54">
        <f t="shared" si="0"/>
        <v>1</v>
      </c>
      <c r="J21" t="s">
        <v>35</v>
      </c>
      <c r="K21" s="55">
        <f>E12</f>
        <v>38035334.03691886</v>
      </c>
      <c r="L21" t="s">
        <v>35</v>
      </c>
      <c r="M21" s="29">
        <f>M19+M20</f>
        <v>2461751</v>
      </c>
      <c r="N21" s="23">
        <f>M21/M21</f>
        <v>1</v>
      </c>
      <c r="O21" s="24"/>
    </row>
    <row r="24" ht="13.5">
      <c r="B24" s="32" t="s">
        <v>44</v>
      </c>
    </row>
    <row r="26" ht="13.5">
      <c r="B26" t="s">
        <v>45</v>
      </c>
    </row>
    <row r="27" ht="13.5">
      <c r="B27" t="s">
        <v>46</v>
      </c>
    </row>
    <row r="28" ht="13.5">
      <c r="B28" t="s">
        <v>47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workbookViewId="0" topLeftCell="A1">
      <selection activeCell="A19" sqref="A19"/>
    </sheetView>
  </sheetViews>
  <sheetFormatPr defaultColWidth="8.8515625" defaultRowHeight="15"/>
  <cols>
    <col min="1" max="1" width="8.8515625" style="0" customWidth="1"/>
    <col min="2" max="9" width="19.7109375" style="0" customWidth="1"/>
    <col min="10" max="10" width="8.8515625" style="0" customWidth="1"/>
    <col min="11" max="11" width="20.8515625" style="0" bestFit="1" customWidth="1"/>
    <col min="12" max="12" width="16.421875" style="0" bestFit="1" customWidth="1"/>
    <col min="13" max="13" width="13.421875" style="0" bestFit="1" customWidth="1"/>
  </cols>
  <sheetData>
    <row r="1" ht="13.5">
      <c r="A1" s="1" t="s">
        <v>0</v>
      </c>
    </row>
    <row r="3" ht="13.5">
      <c r="C3" s="30" t="s">
        <v>39</v>
      </c>
    </row>
    <row r="4" spans="4:5" ht="13.5">
      <c r="D4" s="13"/>
      <c r="E4" s="31"/>
    </row>
    <row r="5" spans="4:5" ht="13.5">
      <c r="D5" s="13"/>
      <c r="E5" s="31"/>
    </row>
    <row r="6" spans="2:5" ht="13.5">
      <c r="B6" s="32" t="s">
        <v>40</v>
      </c>
      <c r="D6" s="13"/>
      <c r="E6" s="31"/>
    </row>
    <row r="7" spans="4:5" ht="13.5">
      <c r="D7" s="13"/>
      <c r="E7" s="31"/>
    </row>
    <row r="8" ht="13.5">
      <c r="B8" s="1" t="s">
        <v>50</v>
      </c>
    </row>
    <row r="9" spans="2:6" ht="13.5">
      <c r="B9" s="2" t="s">
        <v>2</v>
      </c>
      <c r="E9" s="33">
        <v>84288850</v>
      </c>
      <c r="F9" t="s">
        <v>3</v>
      </c>
    </row>
    <row r="10" spans="2:6" ht="13.5">
      <c r="B10" s="2" t="s">
        <v>4</v>
      </c>
      <c r="E10" s="4">
        <v>0.35</v>
      </c>
      <c r="F10" t="s">
        <v>5</v>
      </c>
    </row>
    <row r="11" spans="2:5" ht="13.5">
      <c r="B11" s="2" t="s">
        <v>6</v>
      </c>
      <c r="E11" s="3">
        <f>E9*E10</f>
        <v>29501097.499999996</v>
      </c>
    </row>
    <row r="13" spans="2:15" ht="13.5">
      <c r="B13" s="5" t="s">
        <v>7</v>
      </c>
      <c r="C13" s="6"/>
      <c r="D13" s="7" t="s">
        <v>8</v>
      </c>
      <c r="E13" s="8" t="s">
        <v>9</v>
      </c>
      <c r="F13" s="7" t="s">
        <v>10</v>
      </c>
      <c r="G13" s="8" t="s">
        <v>11</v>
      </c>
      <c r="H13" s="9" t="s">
        <v>12</v>
      </c>
      <c r="I13" s="10" t="s">
        <v>13</v>
      </c>
      <c r="J13" s="11"/>
      <c r="K13" t="s">
        <v>14</v>
      </c>
      <c r="L13" t="s">
        <v>15</v>
      </c>
      <c r="M13" t="s">
        <v>16</v>
      </c>
      <c r="N13" t="s">
        <v>17</v>
      </c>
      <c r="O13" t="s">
        <v>18</v>
      </c>
    </row>
    <row r="14" spans="2:15" ht="13.5">
      <c r="B14" s="12" t="s">
        <v>48</v>
      </c>
      <c r="C14" s="13"/>
      <c r="D14" s="56" t="s">
        <v>49</v>
      </c>
      <c r="E14" s="56" t="s">
        <v>49</v>
      </c>
      <c r="F14" s="56" t="s">
        <v>49</v>
      </c>
      <c r="G14" s="56" t="s">
        <v>49</v>
      </c>
      <c r="H14" s="57" t="s">
        <v>49</v>
      </c>
      <c r="I14" s="15" t="s">
        <v>20</v>
      </c>
      <c r="K14" s="14" t="s">
        <v>21</v>
      </c>
      <c r="O14" t="s">
        <v>22</v>
      </c>
    </row>
    <row r="15" spans="2:15" ht="13.5">
      <c r="B15" s="16"/>
      <c r="C15" s="13" t="s">
        <v>24</v>
      </c>
      <c r="D15" s="18">
        <f>7.3+4.6+3.1</f>
        <v>14.999999999999998</v>
      </c>
      <c r="E15" s="18">
        <f>7.3+1.5+3.1+4</f>
        <v>15.9</v>
      </c>
      <c r="F15" s="18">
        <f>6.6+2.2+5.6+1.4</f>
        <v>15.8</v>
      </c>
      <c r="G15" s="18">
        <f>9.9+1.7+4.3</f>
        <v>15.899999999999999</v>
      </c>
      <c r="H15" s="18">
        <f>AVERAGE(D15:G15)</f>
        <v>15.65</v>
      </c>
      <c r="I15" s="18"/>
      <c r="K15" s="19" t="s">
        <v>25</v>
      </c>
      <c r="M15" s="19" t="s">
        <v>26</v>
      </c>
      <c r="O15" s="20" t="s">
        <v>27</v>
      </c>
    </row>
    <row r="16" spans="2:15" ht="13.5">
      <c r="B16" s="16"/>
      <c r="C16" s="13" t="s">
        <v>28</v>
      </c>
      <c r="D16" s="18">
        <v>6.7</v>
      </c>
      <c r="E16" s="18">
        <v>5.7</v>
      </c>
      <c r="F16" s="18">
        <v>3.8</v>
      </c>
      <c r="G16" s="18">
        <v>4</v>
      </c>
      <c r="H16" s="18">
        <f>AVERAGE(D16:G16)</f>
        <v>5.05</v>
      </c>
      <c r="I16" s="27">
        <f>SUM(H15:H16)/H18</f>
        <v>0.9787234042553192</v>
      </c>
      <c r="J16" t="s">
        <v>29</v>
      </c>
      <c r="K16" s="3">
        <f>I16*K18</f>
        <v>28873414.574468084</v>
      </c>
      <c r="L16" t="s">
        <v>30</v>
      </c>
      <c r="M16" s="48">
        <v>1733657</v>
      </c>
      <c r="N16" s="23">
        <f>M16/M18</f>
        <v>0.9841025213108296</v>
      </c>
      <c r="O16" s="24">
        <f>K16/M16</f>
        <v>16.65462924584741</v>
      </c>
    </row>
    <row r="17" spans="2:15" ht="13.5">
      <c r="B17" s="16"/>
      <c r="C17" s="13" t="s">
        <v>32</v>
      </c>
      <c r="D17" s="18">
        <v>0.4</v>
      </c>
      <c r="E17" s="18">
        <v>0.4</v>
      </c>
      <c r="F17" s="18">
        <v>0.7</v>
      </c>
      <c r="G17" s="18">
        <v>0.3</v>
      </c>
      <c r="H17" s="18">
        <f>AVERAGE(D17:G17)</f>
        <v>0.45</v>
      </c>
      <c r="I17" s="27">
        <f>H17/H18</f>
        <v>0.021276595744680854</v>
      </c>
      <c r="J17" t="s">
        <v>31</v>
      </c>
      <c r="K17" s="3">
        <f>I17*K18</f>
        <v>627682.9255319149</v>
      </c>
      <c r="L17" t="s">
        <v>33</v>
      </c>
      <c r="M17" s="48">
        <v>28006</v>
      </c>
      <c r="N17" s="23">
        <f>M17/M18</f>
        <v>0.015897478689170404</v>
      </c>
      <c r="O17" s="24">
        <f>K17/M17</f>
        <v>22.41244467370974</v>
      </c>
    </row>
    <row r="18" spans="2:15" ht="13.5">
      <c r="B18" s="25"/>
      <c r="C18" s="26" t="s">
        <v>34</v>
      </c>
      <c r="D18" s="18">
        <f aca="true" t="shared" si="0" ref="D18:I18">SUM(D15:D17)</f>
        <v>22.099999999999998</v>
      </c>
      <c r="E18" s="18">
        <f t="shared" si="0"/>
        <v>22</v>
      </c>
      <c r="F18" s="18">
        <f t="shared" si="0"/>
        <v>20.3</v>
      </c>
      <c r="G18" s="18">
        <f t="shared" si="0"/>
        <v>20.2</v>
      </c>
      <c r="H18" s="18">
        <f t="shared" si="0"/>
        <v>21.15</v>
      </c>
      <c r="I18" s="27">
        <f t="shared" si="0"/>
        <v>1</v>
      </c>
      <c r="J18" t="s">
        <v>35</v>
      </c>
      <c r="K18" s="55">
        <f>E11</f>
        <v>29501097.499999996</v>
      </c>
      <c r="L18" t="s">
        <v>35</v>
      </c>
      <c r="M18" s="29">
        <f>M16+M17</f>
        <v>1761663</v>
      </c>
      <c r="N18" s="23">
        <f>M18/M18</f>
        <v>1</v>
      </c>
      <c r="O18" s="24"/>
    </row>
    <row r="21" ht="13.5">
      <c r="B21" s="1" t="s">
        <v>51</v>
      </c>
    </row>
    <row r="22" spans="2:6" ht="13.5">
      <c r="B22" s="2" t="s">
        <v>2</v>
      </c>
      <c r="E22" s="33">
        <v>184335583</v>
      </c>
      <c r="F22" t="s">
        <v>3</v>
      </c>
    </row>
    <row r="23" spans="2:6" ht="13.5">
      <c r="B23" s="2" t="s">
        <v>4</v>
      </c>
      <c r="E23" s="4">
        <v>0.396</v>
      </c>
      <c r="F23" t="s">
        <v>5</v>
      </c>
    </row>
    <row r="24" spans="2:5" ht="13.5">
      <c r="B24" s="2" t="s">
        <v>6</v>
      </c>
      <c r="E24" s="3">
        <f>E22*E23</f>
        <v>72996890.868</v>
      </c>
    </row>
    <row r="26" spans="2:15" ht="13.5">
      <c r="B26" s="5" t="s">
        <v>7</v>
      </c>
      <c r="C26" s="6"/>
      <c r="D26" s="7" t="s">
        <v>8</v>
      </c>
      <c r="E26" s="8" t="s">
        <v>9</v>
      </c>
      <c r="F26" s="7" t="s">
        <v>10</v>
      </c>
      <c r="G26" s="8" t="s">
        <v>11</v>
      </c>
      <c r="H26" s="9" t="s">
        <v>12</v>
      </c>
      <c r="I26" s="10" t="s">
        <v>13</v>
      </c>
      <c r="J26" s="11"/>
      <c r="K26" t="s">
        <v>14</v>
      </c>
      <c r="L26" t="s">
        <v>15</v>
      </c>
      <c r="M26" t="s">
        <v>16</v>
      </c>
      <c r="N26" t="s">
        <v>17</v>
      </c>
      <c r="O26" t="s">
        <v>18</v>
      </c>
    </row>
    <row r="27" spans="2:15" ht="13.5">
      <c r="B27" s="12" t="s">
        <v>48</v>
      </c>
      <c r="C27" s="13"/>
      <c r="D27" s="56" t="s">
        <v>49</v>
      </c>
      <c r="E27" s="56" t="s">
        <v>49</v>
      </c>
      <c r="F27" s="56" t="s">
        <v>49</v>
      </c>
      <c r="G27" s="56" t="s">
        <v>49</v>
      </c>
      <c r="H27" s="57" t="s">
        <v>49</v>
      </c>
      <c r="I27" s="15" t="s">
        <v>20</v>
      </c>
      <c r="K27" s="14" t="s">
        <v>21</v>
      </c>
      <c r="O27" t="s">
        <v>22</v>
      </c>
    </row>
    <row r="28" spans="2:15" ht="13.5">
      <c r="B28" s="12"/>
      <c r="C28" s="13" t="s">
        <v>24</v>
      </c>
      <c r="D28" s="58">
        <f>26+7.1+9.7</f>
        <v>42.8</v>
      </c>
      <c r="E28" s="58">
        <f>26.4+2.1+10+6.3</f>
        <v>44.8</v>
      </c>
      <c r="F28" s="58">
        <f>35+2.1+13.8+2.4</f>
        <v>53.300000000000004</v>
      </c>
      <c r="G28" s="58">
        <f>26+2.5+19.2</f>
        <v>47.7</v>
      </c>
      <c r="H28" s="18">
        <f>AVERAGE(D28:G28)</f>
        <v>47.150000000000006</v>
      </c>
      <c r="I28" s="18"/>
      <c r="K28" s="19" t="s">
        <v>25</v>
      </c>
      <c r="M28" s="19" t="s">
        <v>26</v>
      </c>
      <c r="O28" s="20" t="s">
        <v>27</v>
      </c>
    </row>
    <row r="29" spans="2:15" ht="13.5">
      <c r="B29" s="16"/>
      <c r="C29" s="13" t="s">
        <v>28</v>
      </c>
      <c r="D29" s="59">
        <v>9.7</v>
      </c>
      <c r="E29" s="59">
        <v>9.2</v>
      </c>
      <c r="F29" s="59">
        <v>7.2</v>
      </c>
      <c r="G29" s="59">
        <v>6.2</v>
      </c>
      <c r="H29" s="18">
        <f>AVERAGE(D29:G29)</f>
        <v>8.075</v>
      </c>
      <c r="I29" s="27">
        <f>SUM(H28:H29)/H31</f>
        <v>0.9888093106535363</v>
      </c>
      <c r="J29" t="s">
        <v>29</v>
      </c>
      <c r="K29" s="3">
        <f>I29*K31</f>
        <v>72180005.33903849</v>
      </c>
      <c r="L29" t="s">
        <v>30</v>
      </c>
      <c r="M29" s="48">
        <v>3984264</v>
      </c>
      <c r="N29" s="23">
        <f>M29/M31</f>
        <v>0.9877329906245956</v>
      </c>
      <c r="O29" s="24">
        <f>K29/M29</f>
        <v>18.116270743865993</v>
      </c>
    </row>
    <row r="30" spans="2:15" ht="13.5">
      <c r="B30" s="16"/>
      <c r="C30" s="13" t="s">
        <v>32</v>
      </c>
      <c r="D30" s="60">
        <v>0.5</v>
      </c>
      <c r="E30" s="60">
        <v>0.5</v>
      </c>
      <c r="F30" s="60">
        <v>1</v>
      </c>
      <c r="G30" s="60">
        <v>0.5</v>
      </c>
      <c r="H30" s="18">
        <f>AVERAGE(D30:G30)</f>
        <v>0.625</v>
      </c>
      <c r="I30" s="27">
        <f>H30/H31</f>
        <v>0.01119068934646374</v>
      </c>
      <c r="J30" t="s">
        <v>31</v>
      </c>
      <c r="K30" s="3">
        <f>I30*K31</f>
        <v>816885.5289615039</v>
      </c>
      <c r="L30" t="s">
        <v>33</v>
      </c>
      <c r="M30" s="48">
        <v>49482</v>
      </c>
      <c r="N30" s="23">
        <f>M30/M31</f>
        <v>0.0122670093754044</v>
      </c>
      <c r="O30" s="24">
        <f>K30/M30</f>
        <v>16.508741137413683</v>
      </c>
    </row>
    <row r="31" spans="2:15" ht="13.5">
      <c r="B31" s="25"/>
      <c r="C31" s="26" t="s">
        <v>34</v>
      </c>
      <c r="D31" s="18">
        <f>SUM(D28:D30)</f>
        <v>53</v>
      </c>
      <c r="E31" s="18">
        <f>SUM(E28:E30)</f>
        <v>54.5</v>
      </c>
      <c r="F31" s="18">
        <f>SUM(F28:F30)</f>
        <v>61.50000000000001</v>
      </c>
      <c r="G31" s="18">
        <f>SUM(G28:G30)</f>
        <v>54.400000000000006</v>
      </c>
      <c r="H31" s="18">
        <f>SUM(H28:H30)</f>
        <v>55.85000000000001</v>
      </c>
      <c r="I31" s="27">
        <f>SUM(I28:I30)</f>
        <v>1</v>
      </c>
      <c r="J31" t="s">
        <v>35</v>
      </c>
      <c r="K31" s="55">
        <f>E24</f>
        <v>72996890.868</v>
      </c>
      <c r="L31" t="s">
        <v>35</v>
      </c>
      <c r="M31" s="29">
        <f>M29+M30</f>
        <v>4033746</v>
      </c>
      <c r="N31" s="23">
        <f>M31/M31</f>
        <v>1</v>
      </c>
      <c r="O31" s="24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9" sqref="A19"/>
    </sheetView>
  </sheetViews>
  <sheetFormatPr defaultColWidth="8.8515625" defaultRowHeight="15"/>
  <cols>
    <col min="1" max="1" width="8.8515625" style="0" customWidth="1"/>
    <col min="2" max="2" width="41.7109375" style="0" customWidth="1"/>
    <col min="3" max="3" width="24.140625" style="0" bestFit="1" customWidth="1"/>
    <col min="4" max="8" width="12.7109375" style="0" customWidth="1"/>
    <col min="9" max="9" width="12.421875" style="0" customWidth="1"/>
    <col min="10" max="10" width="8.8515625" style="0" customWidth="1"/>
    <col min="11" max="11" width="20.8515625" style="0" bestFit="1" customWidth="1"/>
    <col min="12" max="12" width="16.421875" style="0" bestFit="1" customWidth="1"/>
    <col min="13" max="13" width="18.421875" style="0" customWidth="1"/>
    <col min="14" max="14" width="8.8515625" style="0" customWidth="1"/>
    <col min="15" max="15" width="22.421875" style="0" bestFit="1" customWidth="1"/>
  </cols>
  <sheetData>
    <row r="1" ht="13.5">
      <c r="A1" s="1" t="s">
        <v>0</v>
      </c>
    </row>
    <row r="4" ht="13.5">
      <c r="C4" s="30" t="s">
        <v>39</v>
      </c>
    </row>
    <row r="5" spans="4:5" ht="13.5">
      <c r="D5" s="13"/>
      <c r="E5" s="31"/>
    </row>
    <row r="6" spans="4:5" ht="13.5">
      <c r="D6" s="13"/>
      <c r="E6" s="31"/>
    </row>
    <row r="7" spans="2:5" ht="13.5">
      <c r="B7" s="32" t="s">
        <v>40</v>
      </c>
      <c r="D7" s="13"/>
      <c r="E7" s="31"/>
    </row>
    <row r="8" spans="4:5" ht="13.5">
      <c r="D8" s="13"/>
      <c r="E8" s="31"/>
    </row>
    <row r="9" ht="13.5">
      <c r="B9" s="1" t="s">
        <v>52</v>
      </c>
    </row>
    <row r="10" spans="2:6" ht="13.5">
      <c r="B10" s="2" t="s">
        <v>2</v>
      </c>
      <c r="E10" s="61"/>
      <c r="F10" t="s">
        <v>3</v>
      </c>
    </row>
    <row r="11" spans="2:6" ht="13.5">
      <c r="B11" s="2" t="s">
        <v>4</v>
      </c>
      <c r="E11" s="62">
        <v>0.291</v>
      </c>
      <c r="F11" t="s">
        <v>5</v>
      </c>
    </row>
    <row r="12" spans="2:5" ht="13.5">
      <c r="B12" s="2" t="s">
        <v>6</v>
      </c>
      <c r="E12" s="63">
        <f>E10*E11</f>
        <v>0</v>
      </c>
    </row>
    <row r="16" spans="2:15" ht="13.5">
      <c r="B16" s="34" t="s">
        <v>7</v>
      </c>
      <c r="C16" s="35"/>
      <c r="D16" s="36" t="s">
        <v>8</v>
      </c>
      <c r="E16" s="37" t="s">
        <v>9</v>
      </c>
      <c r="F16" s="36" t="s">
        <v>10</v>
      </c>
      <c r="G16" s="37" t="s">
        <v>11</v>
      </c>
      <c r="H16" s="38" t="s">
        <v>12</v>
      </c>
      <c r="I16" s="38" t="s">
        <v>13</v>
      </c>
      <c r="J16" s="11"/>
      <c r="K16" t="s">
        <v>14</v>
      </c>
      <c r="L16" t="s">
        <v>15</v>
      </c>
      <c r="M16" t="s">
        <v>16</v>
      </c>
      <c r="N16" t="s">
        <v>17</v>
      </c>
      <c r="O16" t="s">
        <v>18</v>
      </c>
    </row>
    <row r="17" spans="2:15" ht="13.5">
      <c r="B17" s="39"/>
      <c r="C17" s="40" t="s">
        <v>42</v>
      </c>
      <c r="D17" s="41" t="s">
        <v>43</v>
      </c>
      <c r="E17" s="41" t="s">
        <v>43</v>
      </c>
      <c r="F17" s="41" t="s">
        <v>43</v>
      </c>
      <c r="G17" s="41" t="s">
        <v>43</v>
      </c>
      <c r="H17" s="41" t="s">
        <v>43</v>
      </c>
      <c r="I17" s="42" t="s">
        <v>20</v>
      </c>
      <c r="K17" s="14" t="s">
        <v>21</v>
      </c>
      <c r="O17" t="s">
        <v>22</v>
      </c>
    </row>
    <row r="18" spans="2:15" ht="13.5">
      <c r="B18" s="43" t="s">
        <v>23</v>
      </c>
      <c r="C18" s="43" t="s">
        <v>24</v>
      </c>
      <c r="D18" s="44" t="s">
        <v>53</v>
      </c>
      <c r="E18" s="44">
        <v>15.2</v>
      </c>
      <c r="F18" s="44">
        <v>16.2</v>
      </c>
      <c r="G18" s="44">
        <v>15.6</v>
      </c>
      <c r="H18" s="44">
        <f>AVERAGE(D18:G18)</f>
        <v>15.666666666666666</v>
      </c>
      <c r="I18" s="45"/>
      <c r="K18" s="19" t="s">
        <v>25</v>
      </c>
      <c r="M18" s="19" t="s">
        <v>26</v>
      </c>
      <c r="O18" s="20" t="s">
        <v>27</v>
      </c>
    </row>
    <row r="19" spans="2:15" ht="13.5">
      <c r="B19" s="43" t="s">
        <v>23</v>
      </c>
      <c r="C19" s="43" t="s">
        <v>28</v>
      </c>
      <c r="D19" s="46" t="s">
        <v>53</v>
      </c>
      <c r="E19" s="46">
        <v>4.5</v>
      </c>
      <c r="F19" s="46">
        <v>4.8</v>
      </c>
      <c r="G19" s="46">
        <v>6.3</v>
      </c>
      <c r="H19" s="46">
        <f>AVERAGE(D19:G19)</f>
        <v>5.2</v>
      </c>
      <c r="I19" s="47">
        <f>SUM(H18:H19)/H21</f>
        <v>0.9796557120500783</v>
      </c>
      <c r="J19" t="s">
        <v>29</v>
      </c>
      <c r="K19" s="3">
        <f>I19*K21</f>
        <v>0</v>
      </c>
      <c r="L19" t="s">
        <v>30</v>
      </c>
      <c r="M19" s="64">
        <f>'[1]customer cost allocations'!$E$20</f>
        <v>2473777</v>
      </c>
      <c r="N19" s="23">
        <f>M19/M21</f>
        <v>0.9874395468066184</v>
      </c>
      <c r="O19" s="24">
        <f>K19/M19</f>
        <v>0</v>
      </c>
    </row>
    <row r="20" spans="2:15" ht="13.5">
      <c r="B20" s="43" t="s">
        <v>31</v>
      </c>
      <c r="C20" s="49" t="s">
        <v>32</v>
      </c>
      <c r="D20" s="50" t="s">
        <v>53</v>
      </c>
      <c r="E20" s="50">
        <v>0.3</v>
      </c>
      <c r="F20" s="50">
        <v>0.7</v>
      </c>
      <c r="G20" s="50">
        <v>0.3</v>
      </c>
      <c r="H20" s="50">
        <f>AVERAGE(D20:G20)</f>
        <v>0.43333333333333335</v>
      </c>
      <c r="I20" s="51">
        <f>100%-I19</f>
        <v>0.020344287949921713</v>
      </c>
      <c r="J20" t="s">
        <v>31</v>
      </c>
      <c r="K20" s="3">
        <f>I20*K21</f>
        <v>0</v>
      </c>
      <c r="L20" t="s">
        <v>33</v>
      </c>
      <c r="M20" s="64">
        <f>'[1]customer cost allocations'!$F$20</f>
        <v>31467</v>
      </c>
      <c r="N20" s="23">
        <f>M20/M21</f>
        <v>0.012560453193381563</v>
      </c>
      <c r="O20" s="24">
        <f>K20/M20</f>
        <v>0</v>
      </c>
    </row>
    <row r="21" spans="2:15" ht="13.5">
      <c r="B21" s="52"/>
      <c r="C21" s="49" t="s">
        <v>35</v>
      </c>
      <c r="D21" s="53">
        <f aca="true" t="shared" si="0" ref="D21:I21">SUM(D18:D20)</f>
        <v>0</v>
      </c>
      <c r="E21" s="53">
        <f t="shared" si="0"/>
        <v>20</v>
      </c>
      <c r="F21" s="53">
        <f t="shared" si="0"/>
        <v>21.7</v>
      </c>
      <c r="G21" s="53">
        <f t="shared" si="0"/>
        <v>22.2</v>
      </c>
      <c r="H21" s="53">
        <f t="shared" si="0"/>
        <v>21.3</v>
      </c>
      <c r="I21" s="54">
        <f t="shared" si="0"/>
        <v>1</v>
      </c>
      <c r="J21" t="s">
        <v>35</v>
      </c>
      <c r="K21" s="55">
        <f>E12</f>
        <v>0</v>
      </c>
      <c r="L21" t="s">
        <v>35</v>
      </c>
      <c r="M21" s="29">
        <f>M19+M20</f>
        <v>2505244</v>
      </c>
      <c r="N21" s="23">
        <f>M21/M21</f>
        <v>1</v>
      </c>
      <c r="O21" s="24"/>
    </row>
    <row r="24" ht="13.5">
      <c r="B24" s="3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SSE / SGN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jm55033</dc:creator>
  <cp:keywords/>
  <dc:description/>
  <cp:lastModifiedBy>Lorna Dupont</cp:lastModifiedBy>
  <dcterms:created xsi:type="dcterms:W3CDTF">2013-08-07T15:26:45Z</dcterms:created>
  <dcterms:modified xsi:type="dcterms:W3CDTF">2013-09-30T10:26:01Z</dcterms:modified>
  <cp:category/>
  <cp:version/>
  <cp:contentType/>
  <cp:contentStatus/>
</cp:coreProperties>
</file>