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0" yWindow="0" windowWidth="22480" windowHeight="13860"/>
  </bookViews>
  <sheets>
    <sheet name="Gas Day Option A Simple" sheetId="1" r:id="rId1"/>
  </sheets>
  <definedNames>
    <definedName name="CAPOR" localSheetId="0">'Gas Day Option A Simple'!$C$7</definedName>
    <definedName name="CAPOR">#REF!</definedName>
    <definedName name="_xlnm.Print_Area" localSheetId="0">'Gas Day Option A Simple'!$A$1:$R$54</definedName>
    <definedName name="SAP" localSheetId="0">'Gas Day Option A Simple'!$C$5</definedName>
    <definedName name="SAP">#REF!</definedName>
    <definedName name="SMPB" localSheetId="0">'Gas Day Option A Simple'!$C$4</definedName>
    <definedName name="SMPB">#REF!</definedName>
    <definedName name="SMPS" localSheetId="0">'Gas Day Option A Simple'!$C$6</definedName>
    <definedName name="SMPS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  <c r="D44" i="1"/>
  <c r="F44" i="1"/>
  <c r="C43" i="1"/>
  <c r="C33" i="1"/>
  <c r="D35" i="1"/>
  <c r="F35" i="1"/>
  <c r="C34" i="1"/>
  <c r="D36" i="1"/>
  <c r="D27" i="1"/>
  <c r="E27" i="1"/>
  <c r="E36" i="1"/>
  <c r="E37" i="1"/>
  <c r="F37" i="1"/>
  <c r="C32" i="1"/>
  <c r="D26" i="1"/>
  <c r="F26" i="1"/>
  <c r="H26" i="1"/>
  <c r="C23" i="1"/>
  <c r="E19" i="1"/>
  <c r="F19" i="1"/>
  <c r="H19" i="1"/>
  <c r="J19" i="1"/>
  <c r="D18" i="1"/>
  <c r="F18" i="1"/>
  <c r="H18" i="1"/>
  <c r="D17" i="1"/>
  <c r="F17" i="1"/>
  <c r="H17" i="1"/>
  <c r="C14" i="1"/>
  <c r="Q6" i="1"/>
  <c r="Q5" i="1"/>
  <c r="J17" i="1"/>
  <c r="I17" i="1"/>
  <c r="I26" i="1"/>
  <c r="I18" i="1"/>
  <c r="L18" i="1"/>
  <c r="O18" i="1"/>
  <c r="K19" i="1"/>
  <c r="J28" i="1"/>
  <c r="I27" i="1"/>
  <c r="I36" i="1"/>
  <c r="I45" i="1"/>
  <c r="F36" i="1"/>
  <c r="J18" i="1"/>
  <c r="C31" i="1"/>
  <c r="G31" i="1"/>
  <c r="G32" i="1"/>
  <c r="D45" i="1"/>
  <c r="C41" i="1"/>
  <c r="I19" i="1"/>
  <c r="I28" i="1"/>
  <c r="I37" i="1"/>
  <c r="I46" i="1"/>
  <c r="M26" i="1"/>
  <c r="P26" i="1"/>
  <c r="E28" i="1"/>
  <c r="F28" i="1"/>
  <c r="H28" i="1"/>
  <c r="F27" i="1"/>
  <c r="H27" i="1"/>
  <c r="G37" i="1"/>
  <c r="H37" i="1"/>
  <c r="G35" i="1"/>
  <c r="H35" i="1"/>
  <c r="G36" i="1"/>
  <c r="H36" i="1"/>
  <c r="I35" i="1"/>
  <c r="I44" i="1"/>
  <c r="L26" i="1"/>
  <c r="O26" i="1"/>
  <c r="M27" i="1"/>
  <c r="P27" i="1"/>
  <c r="L27" i="1"/>
  <c r="O27" i="1"/>
  <c r="C40" i="1"/>
  <c r="G40" i="1"/>
  <c r="G41" i="1"/>
  <c r="L19" i="1"/>
  <c r="O19" i="1"/>
  <c r="J37" i="1"/>
  <c r="K28" i="1"/>
  <c r="N28" i="1"/>
  <c r="J26" i="1"/>
  <c r="K17" i="1"/>
  <c r="L28" i="1"/>
  <c r="O28" i="1"/>
  <c r="M28" i="1"/>
  <c r="P28" i="1"/>
  <c r="E45" i="1"/>
  <c r="F45" i="1"/>
  <c r="E46" i="1"/>
  <c r="F46" i="1"/>
  <c r="K18" i="1"/>
  <c r="J27" i="1"/>
  <c r="P19" i="1"/>
  <c r="N19" i="1"/>
  <c r="L17" i="1"/>
  <c r="O17" i="1"/>
  <c r="K26" i="1"/>
  <c r="N26" i="1"/>
  <c r="Q26" i="1"/>
  <c r="R26" i="1"/>
  <c r="J35" i="1"/>
  <c r="M37" i="1"/>
  <c r="P37" i="1"/>
  <c r="L37" i="1"/>
  <c r="O37" i="1"/>
  <c r="K27" i="1"/>
  <c r="N27" i="1"/>
  <c r="Q27" i="1"/>
  <c r="R27" i="1"/>
  <c r="J36" i="1"/>
  <c r="Q28" i="1"/>
  <c r="R28" i="1"/>
  <c r="G44" i="1"/>
  <c r="H44" i="1"/>
  <c r="G45" i="1"/>
  <c r="H45" i="1"/>
  <c r="G46" i="1"/>
  <c r="H46" i="1"/>
  <c r="P18" i="1"/>
  <c r="N18" i="1"/>
  <c r="Q18" i="1"/>
  <c r="R18" i="1"/>
  <c r="J46" i="1"/>
  <c r="K46" i="1"/>
  <c r="N46" i="1"/>
  <c r="K37" i="1"/>
  <c r="N37" i="1"/>
  <c r="M36" i="1"/>
  <c r="P36" i="1"/>
  <c r="L36" i="1"/>
  <c r="O36" i="1"/>
  <c r="Q19" i="1"/>
  <c r="R19" i="1"/>
  <c r="P17" i="1"/>
  <c r="N17" i="1"/>
  <c r="Q17" i="1"/>
  <c r="R17" i="1"/>
  <c r="L35" i="1"/>
  <c r="O35" i="1"/>
  <c r="M35" i="1"/>
  <c r="P35" i="1"/>
  <c r="L45" i="1"/>
  <c r="O45" i="1"/>
  <c r="O53" i="1"/>
  <c r="M46" i="1"/>
  <c r="P46" i="1"/>
  <c r="P54" i="1"/>
  <c r="N54" i="1"/>
  <c r="Q37" i="1"/>
  <c r="L46" i="1"/>
  <c r="O46" i="1"/>
  <c r="O54" i="1"/>
  <c r="J45" i="1"/>
  <c r="K45" i="1"/>
  <c r="N45" i="1"/>
  <c r="M45" i="1"/>
  <c r="P45" i="1"/>
  <c r="Q45" i="1"/>
  <c r="R45" i="1"/>
  <c r="K36" i="1"/>
  <c r="N36" i="1"/>
  <c r="J44" i="1"/>
  <c r="K44" i="1"/>
  <c r="N44" i="1"/>
  <c r="K35" i="1"/>
  <c r="N35" i="1"/>
  <c r="L44" i="1"/>
  <c r="O44" i="1"/>
  <c r="O52" i="1"/>
  <c r="M44" i="1"/>
  <c r="P44" i="1"/>
  <c r="P52" i="1"/>
  <c r="Q46" i="1"/>
  <c r="R46" i="1"/>
  <c r="P53" i="1"/>
  <c r="O50" i="1"/>
  <c r="P50" i="1"/>
  <c r="N52" i="1"/>
  <c r="N53" i="1"/>
  <c r="N50" i="1"/>
  <c r="Q35" i="1"/>
  <c r="Q44" i="1"/>
  <c r="R44" i="1"/>
  <c r="Q36" i="1"/>
  <c r="Q54" i="1"/>
  <c r="R37" i="1"/>
  <c r="R54" i="1"/>
  <c r="R35" i="1"/>
  <c r="R52" i="1"/>
  <c r="Q52" i="1"/>
  <c r="Q53" i="1"/>
  <c r="R36" i="1"/>
  <c r="R53" i="1"/>
  <c r="Q50" i="1"/>
  <c r="R50" i="1"/>
</calcChain>
</file>

<file path=xl/sharedStrings.xml><?xml version="1.0" encoding="utf-8"?>
<sst xmlns="http://schemas.openxmlformats.org/spreadsheetml/2006/main" count="123" uniqueCount="56">
  <si>
    <t>Example Gas Day:</t>
  </si>
  <si>
    <t>Gas Prices</t>
  </si>
  <si>
    <t>p/th</t>
  </si>
  <si>
    <t>Scheduling Charges</t>
  </si>
  <si>
    <t>SMPB</t>
  </si>
  <si>
    <t>Short Gas</t>
  </si>
  <si>
    <t xml:space="preserve">Tolerance &lt;3% = FREE, </t>
  </si>
  <si>
    <t>SAP</t>
  </si>
  <si>
    <t>Day Average</t>
  </si>
  <si>
    <t xml:space="preserve">Inner tolerance 3-5% = 2% SAP </t>
  </si>
  <si>
    <t>SMPS</t>
  </si>
  <si>
    <t>Long Gas</t>
  </si>
  <si>
    <t>Outer Tolerance &gt;5% = 5% SAP</t>
  </si>
  <si>
    <t>Capacity Overrun</t>
  </si>
  <si>
    <t>% Difference between 5-5 &amp; 6-6</t>
  </si>
  <si>
    <t xml:space="preserve">Gas Day Process Flow </t>
  </si>
  <si>
    <t>INFORMATION AVAILABLE ON THE GAS DAY FROM PRODUCERS FOR SHIPPERS TO ACT UPON (DAY 1 &amp; 2 ASSUMED IDENTICAL - PERFECT DAY)</t>
  </si>
  <si>
    <t>The Gas Day - Producers sell Shippers their expected daily allocation.  Shippers trade with each other at beach.  Shippers all balance positions to zero through sales at NBP.</t>
  </si>
  <si>
    <t>Production Forecast</t>
  </si>
  <si>
    <t>Forecast Sale Producer to Shipper</t>
  </si>
  <si>
    <t>Beach Sale Shipper2 to Shipper3</t>
  </si>
  <si>
    <t>Shipper Position at Sub-Terminal</t>
  </si>
  <si>
    <t>Shipper Input Nominated Quantity</t>
  </si>
  <si>
    <t>Sub-Terminal Shipper Capacity Purchase</t>
  </si>
  <si>
    <t>Shipper sale @ NBP</t>
  </si>
  <si>
    <t>Shipper Daily Imbalance</t>
  </si>
  <si>
    <t>Shipper Capacity Overrun</t>
  </si>
  <si>
    <t>Scheduling Error Percentage</t>
  </si>
  <si>
    <t>Shipper Daily Imbalance Charge  £</t>
  </si>
  <si>
    <t>Capacity Overrun £</t>
  </si>
  <si>
    <t>Scheduling Charge (Inner/Outer) £</t>
  </si>
  <si>
    <t>Overall Shipper Cost/Revenue £</t>
  </si>
  <si>
    <t>Balancing Neutrality Pot Impact £</t>
  </si>
  <si>
    <t>Sub-Terminal 6-6</t>
  </si>
  <si>
    <t>Field1</t>
  </si>
  <si>
    <t>Field2</t>
  </si>
  <si>
    <t>Shipper1</t>
  </si>
  <si>
    <t>Shipper2</t>
  </si>
  <si>
    <t>Shipper3</t>
  </si>
  <si>
    <t>AFTER THE DAY ALLOCATED INFORMATION  (DAY 1 &amp; 2 ASSUMED IDENTICAL - PERFECT DAY)</t>
  </si>
  <si>
    <t>Current world perfect day pre 1st Oct 15, with 10mil therms produced as planned on a 6-6 basis.</t>
  </si>
  <si>
    <t>Sub-Terminal Allocation</t>
  </si>
  <si>
    <t>Final Sale Producer to Shipper</t>
  </si>
  <si>
    <t>Final Allocation (Shipper UDQI)</t>
  </si>
  <si>
    <t>Base Case Balancing Neutrality Pot Impact £</t>
  </si>
  <si>
    <t>OPTION A - DAY 1 - 5:5 DQ &lt; 6:6 DQ</t>
  </si>
  <si>
    <r>
      <t xml:space="preserve">Exactly 10mil therms produced as planned on a 6-6 basis, but a small difference in the hour 5-6 results in </t>
    </r>
    <r>
      <rPr>
        <b/>
        <i/>
        <sz val="10"/>
        <color rgb="FFFF0000"/>
        <rFont val="Helvetica"/>
        <family val="2"/>
      </rPr>
      <t xml:space="preserve">9.8mil </t>
    </r>
    <r>
      <rPr>
        <i/>
        <sz val="10"/>
        <color rgb="FFFF0000"/>
        <rFont val="Helvetica"/>
        <family val="2"/>
      </rPr>
      <t>therms metered on 5-5 basis</t>
    </r>
  </si>
  <si>
    <t>Option A Scaling for gas day</t>
  </si>
  <si>
    <t>Option A Day1 Balancing Neutrality Pot Impact £</t>
  </si>
  <si>
    <t>Sub-Terminal 5-5</t>
  </si>
  <si>
    <t>OPTION A - DAY 2 - 5:5 DQ &gt; 6:6 DQ</t>
  </si>
  <si>
    <r>
      <t xml:space="preserve">Exactly 10mil therms produced as planned on a 6-6 basis, but a small difference in the hour 5-6 results in </t>
    </r>
    <r>
      <rPr>
        <b/>
        <i/>
        <sz val="10"/>
        <color rgb="FFFF0000"/>
        <rFont val="Helvetica"/>
        <family val="2"/>
      </rPr>
      <t xml:space="preserve">10.2mil </t>
    </r>
    <r>
      <rPr>
        <i/>
        <sz val="10"/>
        <color rgb="FFFF0000"/>
        <rFont val="Helvetica"/>
        <family val="2"/>
      </rPr>
      <t>therms metered on 5-5 basis</t>
    </r>
  </si>
  <si>
    <t>Option A Day2 Balancing Neutrality Pot Impact £</t>
  </si>
  <si>
    <t>Overall Balancing Neutrality Pot Impact £</t>
  </si>
  <si>
    <t>CHANGE IN BALANCING NEUTRALITY CHARGE (2 DAY IMPACT)</t>
  </si>
  <si>
    <t>New costs introduced through Option A process that shippers at 6-6 sub-terminals will incur and cannot mitigate.  
Resultant revenues are generated into the Balancing Neutrality Pot and unfairly distributed to all shippers, not just impacted shippers.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</si>
</sst>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0.0%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Helvetica"/>
      <family val="2"/>
    </font>
    <font>
      <sz val="10"/>
      <color theme="1"/>
      <name val="Helvetica"/>
      <family val="2"/>
    </font>
    <font>
      <b/>
      <i/>
      <sz val="10"/>
      <color theme="1"/>
      <name val="Helvetica"/>
      <family val="2"/>
    </font>
    <font>
      <b/>
      <sz val="10"/>
      <color theme="1"/>
      <name val="Helvetica"/>
      <family val="2"/>
    </font>
    <font>
      <i/>
      <sz val="10"/>
      <color theme="1"/>
      <name val="Helvetica"/>
      <family val="2"/>
    </font>
    <font>
      <b/>
      <sz val="10"/>
      <name val="Helvetica"/>
      <family val="2"/>
    </font>
    <font>
      <i/>
      <sz val="10"/>
      <color rgb="FFFF0000"/>
      <name val="Helvetica"/>
      <family val="2"/>
    </font>
    <font>
      <b/>
      <i/>
      <sz val="10"/>
      <color rgb="FFFF0000"/>
      <name val="Helvetica"/>
      <family val="2"/>
    </font>
    <font>
      <b/>
      <i/>
      <sz val="12"/>
      <color rgb="FFFF0000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Border="1"/>
    <xf numFmtId="0" fontId="5" fillId="0" borderId="1" xfId="0" applyFont="1" applyBorder="1"/>
    <xf numFmtId="2" fontId="5" fillId="0" borderId="1" xfId="0" applyNumberFormat="1" applyFont="1" applyBorder="1"/>
    <xf numFmtId="0" fontId="6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3" fillId="0" borderId="1" xfId="0" applyFont="1" applyBorder="1"/>
    <xf numFmtId="10" fontId="7" fillId="2" borderId="1" xfId="0" applyNumberFormat="1" applyFont="1" applyFill="1" applyBorder="1"/>
    <xf numFmtId="0" fontId="5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8" fillId="3" borderId="7" xfId="0" applyFont="1" applyFill="1" applyBorder="1" applyAlignment="1">
      <alignment vertical="top" wrapText="1"/>
    </xf>
    <xf numFmtId="0" fontId="5" fillId="3" borderId="0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3" fillId="3" borderId="9" xfId="0" applyFont="1" applyFill="1" applyBorder="1"/>
    <xf numFmtId="3" fontId="3" fillId="3" borderId="10" xfId="0" applyNumberFormat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8" fontId="5" fillId="3" borderId="10" xfId="1" applyNumberFormat="1" applyFont="1" applyFill="1" applyBorder="1" applyAlignment="1">
      <alignment horizontal="center"/>
    </xf>
    <xf numFmtId="8" fontId="5" fillId="3" borderId="10" xfId="0" applyNumberFormat="1" applyFont="1" applyFill="1" applyBorder="1" applyAlignment="1">
      <alignment horizontal="center"/>
    </xf>
    <xf numFmtId="8" fontId="5" fillId="3" borderId="11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9" fontId="3" fillId="3" borderId="10" xfId="2" applyFont="1" applyFill="1" applyBorder="1" applyAlignment="1">
      <alignment horizontal="center"/>
    </xf>
    <xf numFmtId="8" fontId="5" fillId="3" borderId="11" xfId="1" applyNumberFormat="1" applyFont="1" applyFill="1" applyBorder="1" applyAlignment="1">
      <alignment horizontal="center"/>
    </xf>
    <xf numFmtId="0" fontId="3" fillId="3" borderId="12" xfId="0" applyFont="1" applyFill="1" applyBorder="1"/>
    <xf numFmtId="3" fontId="3" fillId="3" borderId="13" xfId="0" applyNumberFormat="1" applyFont="1" applyFill="1" applyBorder="1" applyAlignment="1">
      <alignment horizontal="center"/>
    </xf>
    <xf numFmtId="9" fontId="3" fillId="3" borderId="13" xfId="2" applyFont="1" applyFill="1" applyBorder="1" applyAlignment="1">
      <alignment horizontal="center"/>
    </xf>
    <xf numFmtId="8" fontId="5" fillId="3" borderId="13" xfId="1" applyNumberFormat="1" applyFont="1" applyFill="1" applyBorder="1" applyAlignment="1">
      <alignment horizontal="center"/>
    </xf>
    <xf numFmtId="8" fontId="5" fillId="3" borderId="14" xfId="1" applyNumberFormat="1" applyFont="1" applyFill="1" applyBorder="1" applyAlignment="1">
      <alignment horizontal="center"/>
    </xf>
    <xf numFmtId="0" fontId="3" fillId="0" borderId="15" xfId="0" applyFont="1" applyFill="1" applyBorder="1"/>
    <xf numFmtId="0" fontId="3" fillId="0" borderId="15" xfId="0" applyFont="1" applyFill="1" applyBorder="1" applyAlignment="1">
      <alignment horizontal="center"/>
    </xf>
    <xf numFmtId="9" fontId="3" fillId="0" borderId="15" xfId="2" applyFont="1" applyFill="1" applyBorder="1" applyAlignment="1">
      <alignment horizontal="center"/>
    </xf>
    <xf numFmtId="44" fontId="5" fillId="0" borderId="15" xfId="1" applyFont="1" applyFill="1" applyBorder="1" applyAlignment="1">
      <alignment horizontal="center"/>
    </xf>
    <xf numFmtId="0" fontId="3" fillId="0" borderId="0" xfId="0" applyFont="1" applyFill="1"/>
    <xf numFmtId="0" fontId="5" fillId="4" borderId="4" xfId="0" applyFont="1" applyFill="1" applyBorder="1" applyAlignment="1"/>
    <xf numFmtId="0" fontId="3" fillId="4" borderId="5" xfId="0" applyFont="1" applyFill="1" applyBorder="1" applyAlignment="1">
      <alignment horizontal="center"/>
    </xf>
    <xf numFmtId="9" fontId="3" fillId="4" borderId="5" xfId="2" applyFont="1" applyFill="1" applyBorder="1" applyAlignment="1">
      <alignment horizontal="center"/>
    </xf>
    <xf numFmtId="44" fontId="5" fillId="4" borderId="5" xfId="1" applyFont="1" applyFill="1" applyBorder="1" applyAlignment="1">
      <alignment horizontal="center"/>
    </xf>
    <xf numFmtId="44" fontId="5" fillId="4" borderId="6" xfId="1" applyFont="1" applyFill="1" applyBorder="1" applyAlignment="1">
      <alignment horizontal="center"/>
    </xf>
    <xf numFmtId="0" fontId="8" fillId="4" borderId="7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3" fillId="4" borderId="9" xfId="0" applyFont="1" applyFill="1" applyBorder="1"/>
    <xf numFmtId="3" fontId="3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8" fontId="5" fillId="4" borderId="10" xfId="1" applyNumberFormat="1" applyFont="1" applyFill="1" applyBorder="1" applyAlignment="1">
      <alignment horizontal="center"/>
    </xf>
    <xf numFmtId="8" fontId="5" fillId="4" borderId="11" xfId="1" applyNumberFormat="1" applyFont="1" applyFill="1" applyBorder="1" applyAlignment="1">
      <alignment horizontal="center"/>
    </xf>
    <xf numFmtId="3" fontId="5" fillId="4" borderId="10" xfId="0" applyNumberFormat="1" applyFont="1" applyFill="1" applyBorder="1" applyAlignment="1">
      <alignment horizontal="center"/>
    </xf>
    <xf numFmtId="9" fontId="3" fillId="4" borderId="10" xfId="2" applyFont="1" applyFill="1" applyBorder="1" applyAlignment="1">
      <alignment horizontal="center"/>
    </xf>
    <xf numFmtId="0" fontId="5" fillId="5" borderId="16" xfId="0" applyFont="1" applyFill="1" applyBorder="1" applyAlignment="1"/>
    <xf numFmtId="3" fontId="3" fillId="5" borderId="17" xfId="0" applyNumberFormat="1" applyFont="1" applyFill="1" applyBorder="1" applyAlignment="1">
      <alignment horizontal="center"/>
    </xf>
    <xf numFmtId="9" fontId="3" fillId="5" borderId="17" xfId="2" applyFont="1" applyFill="1" applyBorder="1" applyAlignment="1">
      <alignment horizontal="center"/>
    </xf>
    <xf numFmtId="8" fontId="5" fillId="5" borderId="17" xfId="1" applyNumberFormat="1" applyFont="1" applyFill="1" applyBorder="1" applyAlignment="1">
      <alignment horizontal="center"/>
    </xf>
    <xf numFmtId="8" fontId="5" fillId="5" borderId="18" xfId="1" applyNumberFormat="1" applyFont="1" applyFill="1" applyBorder="1" applyAlignment="1">
      <alignment horizontal="center"/>
    </xf>
    <xf numFmtId="0" fontId="8" fillId="5" borderId="7" xfId="0" applyFont="1" applyFill="1" applyBorder="1" applyAlignment="1">
      <alignment vertical="top" wrapText="1"/>
    </xf>
    <xf numFmtId="0" fontId="5" fillId="5" borderId="0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3" fillId="5" borderId="9" xfId="0" applyFont="1" applyFill="1" applyBorder="1"/>
    <xf numFmtId="3" fontId="3" fillId="5" borderId="10" xfId="0" applyNumberFormat="1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8" fontId="5" fillId="5" borderId="10" xfId="0" applyNumberFormat="1" applyFont="1" applyFill="1" applyBorder="1" applyAlignment="1">
      <alignment horizontal="center"/>
    </xf>
    <xf numFmtId="8" fontId="5" fillId="5" borderId="11" xfId="0" applyNumberFormat="1" applyFont="1" applyFill="1" applyBorder="1" applyAlignment="1">
      <alignment horizontal="center"/>
    </xf>
    <xf numFmtId="164" fontId="3" fillId="5" borderId="10" xfId="2" applyNumberFormat="1" applyFont="1" applyFill="1" applyBorder="1" applyAlignment="1">
      <alignment horizontal="center"/>
    </xf>
    <xf numFmtId="8" fontId="5" fillId="5" borderId="10" xfId="1" applyNumberFormat="1" applyFont="1" applyFill="1" applyBorder="1" applyAlignment="1">
      <alignment horizontal="center"/>
    </xf>
    <xf numFmtId="8" fontId="5" fillId="5" borderId="11" xfId="1" applyNumberFormat="1" applyFont="1" applyFill="1" applyBorder="1" applyAlignment="1">
      <alignment horizontal="center"/>
    </xf>
    <xf numFmtId="0" fontId="5" fillId="6" borderId="16" xfId="0" applyFont="1" applyFill="1" applyBorder="1"/>
    <xf numFmtId="3" fontId="3" fillId="6" borderId="17" xfId="0" applyNumberFormat="1" applyFont="1" applyFill="1" applyBorder="1" applyAlignment="1">
      <alignment horizontal="center"/>
    </xf>
    <xf numFmtId="9" fontId="3" fillId="6" borderId="17" xfId="2" applyFont="1" applyFill="1" applyBorder="1" applyAlignment="1">
      <alignment horizontal="center"/>
    </xf>
    <xf numFmtId="8" fontId="5" fillId="6" borderId="17" xfId="1" applyNumberFormat="1" applyFont="1" applyFill="1" applyBorder="1" applyAlignment="1">
      <alignment horizontal="center"/>
    </xf>
    <xf numFmtId="8" fontId="5" fillId="6" borderId="18" xfId="1" applyNumberFormat="1" applyFont="1" applyFill="1" applyBorder="1" applyAlignment="1">
      <alignment horizontal="center"/>
    </xf>
    <xf numFmtId="0" fontId="8" fillId="6" borderId="7" xfId="0" applyFont="1" applyFill="1" applyBorder="1" applyAlignment="1">
      <alignment vertical="top" wrapText="1"/>
    </xf>
    <xf numFmtId="0" fontId="5" fillId="6" borderId="0" xfId="0" applyFont="1" applyFill="1" applyBorder="1" applyAlignment="1">
      <alignment horizontal="center" wrapText="1"/>
    </xf>
    <xf numFmtId="44" fontId="5" fillId="6" borderId="0" xfId="1" applyFont="1" applyFill="1" applyBorder="1" applyAlignment="1">
      <alignment horizontal="center" wrapText="1"/>
    </xf>
    <xf numFmtId="44" fontId="5" fillId="6" borderId="8" xfId="1" applyFont="1" applyFill="1" applyBorder="1" applyAlignment="1">
      <alignment horizontal="center" wrapText="1"/>
    </xf>
    <xf numFmtId="0" fontId="3" fillId="6" borderId="9" xfId="0" applyFont="1" applyFill="1" applyBorder="1"/>
    <xf numFmtId="3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8" fontId="5" fillId="6" borderId="10" xfId="1" applyNumberFormat="1" applyFont="1" applyFill="1" applyBorder="1" applyAlignment="1">
      <alignment horizontal="center"/>
    </xf>
    <xf numFmtId="8" fontId="5" fillId="6" borderId="11" xfId="1" applyNumberFormat="1" applyFont="1" applyFill="1" applyBorder="1" applyAlignment="1">
      <alignment horizontal="center"/>
    </xf>
    <xf numFmtId="164" fontId="3" fillId="6" borderId="10" xfId="2" applyNumberFormat="1" applyFont="1" applyFill="1" applyBorder="1" applyAlignment="1">
      <alignment horizontal="center"/>
    </xf>
    <xf numFmtId="0" fontId="3" fillId="6" borderId="12" xfId="0" applyFont="1" applyFill="1" applyBorder="1"/>
    <xf numFmtId="3" fontId="3" fillId="6" borderId="13" xfId="0" applyNumberFormat="1" applyFont="1" applyFill="1" applyBorder="1" applyAlignment="1">
      <alignment horizontal="center"/>
    </xf>
    <xf numFmtId="164" fontId="3" fillId="6" borderId="13" xfId="2" applyNumberFormat="1" applyFont="1" applyFill="1" applyBorder="1" applyAlignment="1">
      <alignment horizontal="center"/>
    </xf>
    <xf numFmtId="8" fontId="5" fillId="6" borderId="13" xfId="1" applyNumberFormat="1" applyFont="1" applyFill="1" applyBorder="1" applyAlignment="1">
      <alignment horizontal="center"/>
    </xf>
    <xf numFmtId="8" fontId="5" fillId="6" borderId="14" xfId="1" applyNumberFormat="1" applyFont="1" applyFill="1" applyBorder="1" applyAlignment="1">
      <alignment horizontal="center"/>
    </xf>
    <xf numFmtId="44" fontId="5" fillId="7" borderId="5" xfId="1" applyFont="1" applyFill="1" applyBorder="1" applyAlignment="1">
      <alignment horizontal="center" wrapText="1"/>
    </xf>
    <xf numFmtId="44" fontId="5" fillId="7" borderId="6" xfId="1" applyFont="1" applyFill="1" applyBorder="1" applyAlignment="1">
      <alignment horizontal="center" wrapText="1"/>
    </xf>
    <xf numFmtId="0" fontId="3" fillId="7" borderId="7" xfId="0" applyFont="1" applyFill="1" applyBorder="1"/>
    <xf numFmtId="0" fontId="5" fillId="7" borderId="0" xfId="0" applyFont="1" applyFill="1" applyBorder="1" applyAlignment="1">
      <alignment horizontal="center" wrapText="1"/>
    </xf>
    <xf numFmtId="44" fontId="5" fillId="7" borderId="0" xfId="1" applyFont="1" applyFill="1" applyBorder="1" applyAlignment="1">
      <alignment horizontal="center" wrapText="1"/>
    </xf>
    <xf numFmtId="44" fontId="5" fillId="7" borderId="8" xfId="1" applyFont="1" applyFill="1" applyBorder="1" applyAlignment="1">
      <alignment horizontal="center" wrapText="1"/>
    </xf>
    <xf numFmtId="0" fontId="5" fillId="7" borderId="9" xfId="0" applyFont="1" applyFill="1" applyBorder="1"/>
    <xf numFmtId="0" fontId="3" fillId="7" borderId="10" xfId="0" applyFont="1" applyFill="1" applyBorder="1" applyAlignment="1">
      <alignment horizontal="center"/>
    </xf>
    <xf numFmtId="8" fontId="5" fillId="7" borderId="10" xfId="0" applyNumberFormat="1" applyFont="1" applyFill="1" applyBorder="1" applyAlignment="1">
      <alignment horizontal="center"/>
    </xf>
    <xf numFmtId="8" fontId="5" fillId="7" borderId="11" xfId="0" applyNumberFormat="1" applyFont="1" applyFill="1" applyBorder="1" applyAlignment="1">
      <alignment horizontal="center"/>
    </xf>
    <xf numFmtId="8" fontId="5" fillId="7" borderId="19" xfId="0" applyNumberFormat="1" applyFont="1" applyFill="1" applyBorder="1" applyAlignment="1">
      <alignment horizontal="center"/>
    </xf>
    <xf numFmtId="8" fontId="5" fillId="7" borderId="20" xfId="0" applyNumberFormat="1" applyFont="1" applyFill="1" applyBorder="1" applyAlignment="1">
      <alignment horizontal="center"/>
    </xf>
    <xf numFmtId="0" fontId="3" fillId="7" borderId="9" xfId="0" applyFont="1" applyFill="1" applyBorder="1"/>
    <xf numFmtId="3" fontId="3" fillId="7" borderId="10" xfId="0" applyNumberFormat="1" applyFont="1" applyFill="1" applyBorder="1" applyAlignment="1">
      <alignment horizontal="center"/>
    </xf>
    <xf numFmtId="9" fontId="3" fillId="7" borderId="10" xfId="2" applyFont="1" applyFill="1" applyBorder="1" applyAlignment="1">
      <alignment horizontal="center"/>
    </xf>
    <xf numFmtId="8" fontId="5" fillId="7" borderId="19" xfId="1" applyNumberFormat="1" applyFont="1" applyFill="1" applyBorder="1" applyAlignment="1">
      <alignment horizontal="center"/>
    </xf>
    <xf numFmtId="8" fontId="5" fillId="7" borderId="20" xfId="1" applyNumberFormat="1" applyFont="1" applyFill="1" applyBorder="1" applyAlignment="1">
      <alignment horizontal="center"/>
    </xf>
    <xf numFmtId="8" fontId="5" fillId="7" borderId="10" xfId="1" applyNumberFormat="1" applyFont="1" applyFill="1" applyBorder="1" applyAlignment="1">
      <alignment horizontal="center"/>
    </xf>
    <xf numFmtId="8" fontId="5" fillId="7" borderId="11" xfId="1" applyNumberFormat="1" applyFont="1" applyFill="1" applyBorder="1" applyAlignment="1">
      <alignment horizontal="center"/>
    </xf>
    <xf numFmtId="0" fontId="3" fillId="7" borderId="12" xfId="0" applyFont="1" applyFill="1" applyBorder="1"/>
    <xf numFmtId="3" fontId="3" fillId="7" borderId="13" xfId="0" applyNumberFormat="1" applyFont="1" applyFill="1" applyBorder="1" applyAlignment="1">
      <alignment horizontal="center"/>
    </xf>
    <xf numFmtId="9" fontId="3" fillId="7" borderId="13" xfId="2" applyFont="1" applyFill="1" applyBorder="1" applyAlignment="1">
      <alignment horizontal="center"/>
    </xf>
    <xf numFmtId="8" fontId="5" fillId="7" borderId="13" xfId="1" applyNumberFormat="1" applyFont="1" applyFill="1" applyBorder="1" applyAlignment="1">
      <alignment horizontal="center"/>
    </xf>
    <xf numFmtId="8" fontId="5" fillId="7" borderId="14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0" fillId="7" borderId="4" xfId="0" applyFont="1" applyFill="1" applyBorder="1" applyAlignment="1">
      <alignment horizontal="left" wrapText="1"/>
    </xf>
    <xf numFmtId="0" fontId="10" fillId="7" borderId="5" xfId="0" applyFont="1" applyFill="1" applyBorder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603250</xdr:colOff>
      <xdr:row>8</xdr:row>
      <xdr:rowOff>127001</xdr:rowOff>
    </xdr:from>
    <xdr:to>
      <xdr:col>17</xdr:col>
      <xdr:colOff>0</xdr:colOff>
      <xdr:row>10</xdr:row>
      <xdr:rowOff>59531</xdr:rowOff>
    </xdr:to>
    <xdr:sp macro="" textlink="">
      <xdr:nvSpPr>
        <xdr:cNvPr id="2" name="Right Arrow 1"/>
        <xdr:cNvSpPr/>
      </xdr:nvSpPr>
      <xdr:spPr>
        <a:xfrm>
          <a:off x="184150" y="1527176"/>
          <a:ext cx="16522700" cy="304005"/>
        </a:xfrm>
        <a:prstGeom prst="rightArrow">
          <a:avLst/>
        </a:prstGeom>
        <a:solidFill>
          <a:schemeClr val="accent3">
            <a:lumMod val="75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R54"/>
  <sheetViews>
    <sheetView showGridLines="0" tabSelected="1" zoomScale="85" zoomScaleNormal="85" zoomScalePageLayoutView="85" workbookViewId="0">
      <selection activeCell="B2" sqref="B2"/>
    </sheetView>
  </sheetViews>
  <sheetFormatPr baseColWidth="10" defaultColWidth="8.83203125" defaultRowHeight="12" x14ac:dyDescent="0"/>
  <cols>
    <col min="1" max="1" width="2.6640625" style="2" customWidth="1"/>
    <col min="2" max="2" width="29.33203125" style="2" customWidth="1"/>
    <col min="3" max="14" width="14.33203125" style="2" customWidth="1"/>
    <col min="15" max="18" width="15.6640625" style="2" customWidth="1"/>
    <col min="19" max="16384" width="8.83203125" style="2"/>
  </cols>
  <sheetData>
    <row r="1" spans="2:18" ht="13">
      <c r="B1" s="1" t="s">
        <v>0</v>
      </c>
    </row>
    <row r="3" spans="2:18">
      <c r="B3" s="3" t="s">
        <v>1</v>
      </c>
      <c r="C3" s="4" t="s">
        <v>2</v>
      </c>
      <c r="O3" s="5" t="s">
        <v>3</v>
      </c>
      <c r="Q3" s="4" t="s">
        <v>2</v>
      </c>
    </row>
    <row r="4" spans="2:18">
      <c r="B4" s="6" t="s">
        <v>4</v>
      </c>
      <c r="C4" s="7">
        <v>49.9</v>
      </c>
      <c r="D4" s="8" t="s">
        <v>5</v>
      </c>
      <c r="O4" s="9" t="s">
        <v>6</v>
      </c>
      <c r="P4" s="10"/>
      <c r="Q4" s="7">
        <v>0</v>
      </c>
    </row>
    <row r="5" spans="2:18">
      <c r="B5" s="6" t="s">
        <v>7</v>
      </c>
      <c r="C5" s="7">
        <v>49</v>
      </c>
      <c r="D5" s="8" t="s">
        <v>8</v>
      </c>
      <c r="O5" s="9" t="s">
        <v>9</v>
      </c>
      <c r="P5" s="10"/>
      <c r="Q5" s="7">
        <f>SAP*2%</f>
        <v>0.98</v>
      </c>
    </row>
    <row r="6" spans="2:18">
      <c r="B6" s="6" t="s">
        <v>10</v>
      </c>
      <c r="C6" s="7">
        <v>48.13</v>
      </c>
      <c r="D6" s="8" t="s">
        <v>11</v>
      </c>
      <c r="O6" s="9" t="s">
        <v>12</v>
      </c>
      <c r="P6" s="10"/>
      <c r="Q6" s="7">
        <f>SAP*5%</f>
        <v>2.4500000000000002</v>
      </c>
    </row>
    <row r="7" spans="2:18">
      <c r="B7" s="6" t="s">
        <v>13</v>
      </c>
      <c r="C7" s="7">
        <v>2</v>
      </c>
      <c r="D7" s="11"/>
    </row>
    <row r="8" spans="2:18">
      <c r="O8" s="6" t="s">
        <v>14</v>
      </c>
      <c r="P8" s="11"/>
      <c r="Q8" s="12">
        <v>0.02</v>
      </c>
    </row>
    <row r="9" spans="2:18" ht="13">
      <c r="B9" s="113" t="s">
        <v>15</v>
      </c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</row>
    <row r="11" spans="2:18" ht="13" thickBot="1"/>
    <row r="12" spans="2:18"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5"/>
      <c r="R12" s="15"/>
    </row>
    <row r="13" spans="2:18" ht="72">
      <c r="B13" s="16" t="s">
        <v>17</v>
      </c>
      <c r="C13" s="17" t="s">
        <v>18</v>
      </c>
      <c r="D13" s="17" t="s">
        <v>19</v>
      </c>
      <c r="E13" s="17" t="s">
        <v>20</v>
      </c>
      <c r="F13" s="17" t="s">
        <v>21</v>
      </c>
      <c r="G13" s="17"/>
      <c r="H13" s="17" t="s">
        <v>22</v>
      </c>
      <c r="I13" s="17" t="s">
        <v>23</v>
      </c>
      <c r="J13" s="17" t="s">
        <v>24</v>
      </c>
      <c r="K13" s="17" t="s">
        <v>25</v>
      </c>
      <c r="L13" s="17" t="s">
        <v>26</v>
      </c>
      <c r="M13" s="17" t="s">
        <v>27</v>
      </c>
      <c r="N13" s="17" t="s">
        <v>28</v>
      </c>
      <c r="O13" s="17" t="s">
        <v>29</v>
      </c>
      <c r="P13" s="17" t="s">
        <v>30</v>
      </c>
      <c r="Q13" s="18" t="s">
        <v>31</v>
      </c>
      <c r="R13" s="18" t="s">
        <v>32</v>
      </c>
    </row>
    <row r="14" spans="2:18">
      <c r="B14" s="19" t="s">
        <v>33</v>
      </c>
      <c r="C14" s="20">
        <f>SUM(C15:C16)</f>
        <v>10000000</v>
      </c>
      <c r="D14" s="20"/>
      <c r="E14" s="20"/>
      <c r="F14" s="20"/>
      <c r="G14" s="20"/>
      <c r="H14" s="20"/>
      <c r="I14" s="20"/>
      <c r="J14" s="20"/>
      <c r="K14" s="20"/>
      <c r="L14" s="20"/>
      <c r="M14" s="21"/>
      <c r="N14" s="22"/>
      <c r="O14" s="23"/>
      <c r="P14" s="23"/>
      <c r="Q14" s="24"/>
      <c r="R14" s="24"/>
    </row>
    <row r="15" spans="2:18">
      <c r="B15" s="19" t="s">
        <v>34</v>
      </c>
      <c r="C15" s="25">
        <v>5000000</v>
      </c>
      <c r="D15" s="20"/>
      <c r="E15" s="20"/>
      <c r="F15" s="20"/>
      <c r="G15" s="20"/>
      <c r="H15" s="20"/>
      <c r="I15" s="20"/>
      <c r="J15" s="20"/>
      <c r="K15" s="20"/>
      <c r="L15" s="20"/>
      <c r="M15" s="21"/>
      <c r="N15" s="22"/>
      <c r="O15" s="23"/>
      <c r="P15" s="23"/>
      <c r="Q15" s="24"/>
      <c r="R15" s="24"/>
    </row>
    <row r="16" spans="2:18">
      <c r="B16" s="19" t="s">
        <v>35</v>
      </c>
      <c r="C16" s="25">
        <v>5000000</v>
      </c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22"/>
      <c r="O16" s="23"/>
      <c r="P16" s="23"/>
      <c r="Q16" s="24"/>
      <c r="R16" s="24"/>
    </row>
    <row r="17" spans="2:18">
      <c r="B17" s="19" t="s">
        <v>36</v>
      </c>
      <c r="C17" s="20"/>
      <c r="D17" s="20">
        <f>C15</f>
        <v>5000000</v>
      </c>
      <c r="E17" s="20"/>
      <c r="F17" s="20">
        <f>SUM(D17:E17)</f>
        <v>5000000</v>
      </c>
      <c r="G17" s="20"/>
      <c r="H17" s="20">
        <f>F17</f>
        <v>5000000</v>
      </c>
      <c r="I17" s="20">
        <f>H17</f>
        <v>5000000</v>
      </c>
      <c r="J17" s="20">
        <f>H17*-1</f>
        <v>-5000000</v>
      </c>
      <c r="K17" s="20">
        <f>J17+H17</f>
        <v>0</v>
      </c>
      <c r="L17" s="20">
        <f>IF(H17-I17&gt;0,H17-I17,0)</f>
        <v>0</v>
      </c>
      <c r="M17" s="26">
        <v>0</v>
      </c>
      <c r="N17" s="22">
        <f>IF(K17&gt;0,K17*SMPS,K17*SMPB)/100</f>
        <v>0</v>
      </c>
      <c r="O17" s="22">
        <f>ABS(L17)*CAPOR/100*-1</f>
        <v>0</v>
      </c>
      <c r="P17" s="22">
        <f>IF(M17&gt;5%,ABS(K17)*$Q$6,IF(AND(M17&gt;=3%,M17&lt;=5%),ABS(K17)*$Q$5,ABS(K17)*$Q$4))/100*-1</f>
        <v>0</v>
      </c>
      <c r="Q17" s="27">
        <f>SUM(N17:P17)</f>
        <v>0</v>
      </c>
      <c r="R17" s="27">
        <f>Q17*-1</f>
        <v>0</v>
      </c>
    </row>
    <row r="18" spans="2:18">
      <c r="B18" s="19" t="s">
        <v>37</v>
      </c>
      <c r="C18" s="20"/>
      <c r="D18" s="20">
        <f>C16</f>
        <v>5000000</v>
      </c>
      <c r="E18" s="20">
        <v>-250000</v>
      </c>
      <c r="F18" s="20">
        <f t="shared" ref="F18:F19" si="0">SUM(D18:E18)</f>
        <v>4750000</v>
      </c>
      <c r="G18" s="20"/>
      <c r="H18" s="20">
        <f>F18</f>
        <v>4750000</v>
      </c>
      <c r="I18" s="20">
        <f>H18</f>
        <v>4750000</v>
      </c>
      <c r="J18" s="20">
        <f>H18*-1</f>
        <v>-4750000</v>
      </c>
      <c r="K18" s="20">
        <f>J18+H18</f>
        <v>0</v>
      </c>
      <c r="L18" s="20">
        <f>IF(H18-I18&gt;0,H18-I18,0)</f>
        <v>0</v>
      </c>
      <c r="M18" s="26">
        <v>0</v>
      </c>
      <c r="N18" s="22">
        <f>IF(K18&gt;0,K18*SMPS,K18*SMPB)/100</f>
        <v>0</v>
      </c>
      <c r="O18" s="22">
        <f>ABS(L18)*CAPOR/100*-1</f>
        <v>0</v>
      </c>
      <c r="P18" s="22">
        <f>IF(M18&gt;5%,ABS(K18)*$Q$6,IF(AND(M18&gt;=3%,M18&lt;=5%),ABS(K18)*$Q$5,ABS(K18)*$Q$4))/100*-1</f>
        <v>0</v>
      </c>
      <c r="Q18" s="27">
        <f>SUM(N18:P18)</f>
        <v>0</v>
      </c>
      <c r="R18" s="27">
        <f t="shared" ref="R18:R19" si="1">Q18*-1</f>
        <v>0</v>
      </c>
    </row>
    <row r="19" spans="2:18" ht="13" thickBot="1">
      <c r="B19" s="28" t="s">
        <v>38</v>
      </c>
      <c r="C19" s="29"/>
      <c r="D19" s="29"/>
      <c r="E19" s="29">
        <f>-E18</f>
        <v>250000</v>
      </c>
      <c r="F19" s="29">
        <f t="shared" si="0"/>
        <v>250000</v>
      </c>
      <c r="G19" s="29"/>
      <c r="H19" s="29">
        <f>F19</f>
        <v>250000</v>
      </c>
      <c r="I19" s="29">
        <f>H19</f>
        <v>250000</v>
      </c>
      <c r="J19" s="29">
        <f>H19*-1</f>
        <v>-250000</v>
      </c>
      <c r="K19" s="29">
        <f>J19+H19</f>
        <v>0</v>
      </c>
      <c r="L19" s="29">
        <f>IF(H19-I19&gt;0,H19-I19,0)</f>
        <v>0</v>
      </c>
      <c r="M19" s="30">
        <v>0</v>
      </c>
      <c r="N19" s="31">
        <f>IF(K19&gt;0,K19*SMPS,K19*SMPB)/100</f>
        <v>0</v>
      </c>
      <c r="O19" s="31">
        <f>ABS(L19)*CAPOR/100*-1</f>
        <v>0</v>
      </c>
      <c r="P19" s="31">
        <f>IF(M19&gt;5%,ABS(K19)*$Q$6,IF(AND(M19&gt;=3%,M19&lt;=5%),ABS(K19)*$Q$5,ABS(K19)*$Q$4))/100*-1</f>
        <v>0</v>
      </c>
      <c r="Q19" s="32">
        <f>SUM(N19:P19)</f>
        <v>0</v>
      </c>
      <c r="R19" s="32">
        <f t="shared" si="1"/>
        <v>0</v>
      </c>
    </row>
    <row r="20" spans="2:18" s="37" customFormat="1" ht="13" thickBot="1"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5"/>
      <c r="N20" s="36"/>
      <c r="O20" s="36"/>
      <c r="P20" s="36"/>
      <c r="Q20" s="36"/>
      <c r="R20" s="36"/>
    </row>
    <row r="21" spans="2:18" s="37" customFormat="1">
      <c r="B21" s="38" t="s">
        <v>39</v>
      </c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1"/>
      <c r="P21" s="41"/>
      <c r="Q21" s="42"/>
      <c r="R21" s="42"/>
    </row>
    <row r="22" spans="2:18" ht="48">
      <c r="B22" s="43" t="s">
        <v>40</v>
      </c>
      <c r="C22" s="44" t="s">
        <v>41</v>
      </c>
      <c r="D22" s="44" t="s">
        <v>42</v>
      </c>
      <c r="E22" s="44" t="s">
        <v>20</v>
      </c>
      <c r="F22" s="44" t="s">
        <v>21</v>
      </c>
      <c r="G22" s="44"/>
      <c r="H22" s="44" t="s">
        <v>43</v>
      </c>
      <c r="I22" s="44" t="s">
        <v>23</v>
      </c>
      <c r="J22" s="44" t="s">
        <v>24</v>
      </c>
      <c r="K22" s="44" t="s">
        <v>25</v>
      </c>
      <c r="L22" s="44" t="s">
        <v>26</v>
      </c>
      <c r="M22" s="44" t="s">
        <v>27</v>
      </c>
      <c r="N22" s="44" t="s">
        <v>28</v>
      </c>
      <c r="O22" s="44" t="s">
        <v>29</v>
      </c>
      <c r="P22" s="44" t="s">
        <v>30</v>
      </c>
      <c r="Q22" s="45" t="s">
        <v>31</v>
      </c>
      <c r="R22" s="45" t="s">
        <v>44</v>
      </c>
    </row>
    <row r="23" spans="2:18">
      <c r="B23" s="46" t="s">
        <v>33</v>
      </c>
      <c r="C23" s="47">
        <f>SUM(C24:C25)</f>
        <v>10000000</v>
      </c>
      <c r="D23" s="47"/>
      <c r="E23" s="47"/>
      <c r="F23" s="47"/>
      <c r="G23" s="47"/>
      <c r="H23" s="47"/>
      <c r="I23" s="47"/>
      <c r="J23" s="47"/>
      <c r="K23" s="47"/>
      <c r="L23" s="47"/>
      <c r="M23" s="48"/>
      <c r="N23" s="49"/>
      <c r="O23" s="49"/>
      <c r="P23" s="49"/>
      <c r="Q23" s="50"/>
      <c r="R23" s="50"/>
    </row>
    <row r="24" spans="2:18">
      <c r="B24" s="46" t="s">
        <v>34</v>
      </c>
      <c r="C24" s="51">
        <v>5000000</v>
      </c>
      <c r="D24" s="47"/>
      <c r="E24" s="47"/>
      <c r="F24" s="47"/>
      <c r="G24" s="47"/>
      <c r="H24" s="47"/>
      <c r="I24" s="47"/>
      <c r="J24" s="47"/>
      <c r="K24" s="47"/>
      <c r="L24" s="47"/>
      <c r="M24" s="48"/>
      <c r="N24" s="49"/>
      <c r="O24" s="49"/>
      <c r="P24" s="49"/>
      <c r="Q24" s="50"/>
      <c r="R24" s="50"/>
    </row>
    <row r="25" spans="2:18">
      <c r="B25" s="46" t="s">
        <v>35</v>
      </c>
      <c r="C25" s="51">
        <v>5000000</v>
      </c>
      <c r="D25" s="47"/>
      <c r="E25" s="47"/>
      <c r="F25" s="47"/>
      <c r="G25" s="47"/>
      <c r="H25" s="47"/>
      <c r="I25" s="47"/>
      <c r="J25" s="47"/>
      <c r="K25" s="47"/>
      <c r="L25" s="47"/>
      <c r="M25" s="48"/>
      <c r="N25" s="49"/>
      <c r="O25" s="49"/>
      <c r="P25" s="49"/>
      <c r="Q25" s="50"/>
      <c r="R25" s="50"/>
    </row>
    <row r="26" spans="2:18">
      <c r="B26" s="46" t="s">
        <v>36</v>
      </c>
      <c r="C26" s="47"/>
      <c r="D26" s="47">
        <f>C24</f>
        <v>5000000</v>
      </c>
      <c r="E26" s="47"/>
      <c r="F26" s="47">
        <f>SUM(D26:E26)</f>
        <v>5000000</v>
      </c>
      <c r="G26" s="47"/>
      <c r="H26" s="47">
        <f>F26</f>
        <v>5000000</v>
      </c>
      <c r="I26" s="47">
        <f t="shared" ref="I26:J28" si="2">I17</f>
        <v>5000000</v>
      </c>
      <c r="J26" s="47">
        <f t="shared" si="2"/>
        <v>-5000000</v>
      </c>
      <c r="K26" s="47">
        <f>J26+H26</f>
        <v>0</v>
      </c>
      <c r="L26" s="47">
        <f>IF(H26-I26&gt;0,H26-I26,0)</f>
        <v>0</v>
      </c>
      <c r="M26" s="52">
        <f>ABS((H26-H17))/H17</f>
        <v>0</v>
      </c>
      <c r="N26" s="49">
        <f>IF(K26&gt;0,K26*SMPS,K26*SMPB)/100</f>
        <v>0</v>
      </c>
      <c r="O26" s="49">
        <f>ABS(L26)*CAPOR/100*-1</f>
        <v>0</v>
      </c>
      <c r="P26" s="49">
        <f>IF(M26&gt;5%,ABS($H$17-H26)*$Q$6,IF(AND(M26&gt;=3%,M26&lt;=5%),ABS($H$17-H26)*$Q$5,ABS($H$17-H26)*$Q$4))/100*-1</f>
        <v>0</v>
      </c>
      <c r="Q26" s="50">
        <f>SUM(N26:P26)</f>
        <v>0</v>
      </c>
      <c r="R26" s="50">
        <f t="shared" ref="R26:R28" si="3">Q26*-1</f>
        <v>0</v>
      </c>
    </row>
    <row r="27" spans="2:18">
      <c r="B27" s="46" t="s">
        <v>37</v>
      </c>
      <c r="C27" s="47"/>
      <c r="D27" s="47">
        <f>C25</f>
        <v>5000000</v>
      </c>
      <c r="E27" s="47">
        <f>IF(D27&gt;-E18,E18,D27)</f>
        <v>-250000</v>
      </c>
      <c r="F27" s="47">
        <f t="shared" ref="F27:F28" si="4">SUM(D27:E27)</f>
        <v>4750000</v>
      </c>
      <c r="G27" s="47"/>
      <c r="H27" s="47">
        <f>F27</f>
        <v>4750000</v>
      </c>
      <c r="I27" s="47">
        <f t="shared" si="2"/>
        <v>4750000</v>
      </c>
      <c r="J27" s="47">
        <f t="shared" si="2"/>
        <v>-4750000</v>
      </c>
      <c r="K27" s="47">
        <f>J27+H27</f>
        <v>0</v>
      </c>
      <c r="L27" s="47">
        <f>IF(H27-I27&gt;0,H27-I27,0)</f>
        <v>0</v>
      </c>
      <c r="M27" s="52">
        <f>ABS((H27-H18))/H18</f>
        <v>0</v>
      </c>
      <c r="N27" s="49">
        <f>IF(K27&gt;0,K27*SMPS,K27*SMPB)/100</f>
        <v>0</v>
      </c>
      <c r="O27" s="49">
        <f>ABS(L27)*CAPOR/100*-1</f>
        <v>0</v>
      </c>
      <c r="P27" s="49">
        <f>IF(M27&gt;5%,ABS($H$18-H27)*$Q$6,IF(AND(M27&gt;=3%,M27&lt;=5%),ABS($H$18-H27)*$Q$5,ABS($H$18-H27)*$Q$4))/100*-1</f>
        <v>0</v>
      </c>
      <c r="Q27" s="50">
        <f>SUM(N27:P27)</f>
        <v>0</v>
      </c>
      <c r="R27" s="50">
        <f t="shared" si="3"/>
        <v>0</v>
      </c>
    </row>
    <row r="28" spans="2:18">
      <c r="B28" s="46" t="s">
        <v>38</v>
      </c>
      <c r="C28" s="47"/>
      <c r="D28" s="47"/>
      <c r="E28" s="47">
        <f>-E27</f>
        <v>250000</v>
      </c>
      <c r="F28" s="47">
        <f t="shared" si="4"/>
        <v>250000</v>
      </c>
      <c r="G28" s="47"/>
      <c r="H28" s="47">
        <f>F28</f>
        <v>250000</v>
      </c>
      <c r="I28" s="47">
        <f t="shared" si="2"/>
        <v>250000</v>
      </c>
      <c r="J28" s="47">
        <f t="shared" si="2"/>
        <v>-250000</v>
      </c>
      <c r="K28" s="47">
        <f>J28+H28</f>
        <v>0</v>
      </c>
      <c r="L28" s="47">
        <f>IF(H28-I28&gt;0,H28-I28,0)</f>
        <v>0</v>
      </c>
      <c r="M28" s="52">
        <f>ABS((H28-H19))/H19</f>
        <v>0</v>
      </c>
      <c r="N28" s="49">
        <f>IF(K28&gt;0,K28*SMPS,K28*SMPB)/100</f>
        <v>0</v>
      </c>
      <c r="O28" s="49">
        <f>ABS(L28)*CAPOR/100*-1</f>
        <v>0</v>
      </c>
      <c r="P28" s="49">
        <f>IF(M28&gt;5%,ABS($H$19-H28)*$Q$6,IF(AND(M28&gt;=3%,M28&lt;=5%),ABS($H$19-H28)*$Q$5,ABS($H$19-H28)*$Q$4))/100*-1</f>
        <v>0</v>
      </c>
      <c r="Q28" s="50">
        <f>SUM(N28:P28)</f>
        <v>0</v>
      </c>
      <c r="R28" s="50">
        <f t="shared" si="3"/>
        <v>0</v>
      </c>
    </row>
    <row r="29" spans="2:18">
      <c r="B29" s="53" t="s">
        <v>45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6"/>
      <c r="O29" s="56"/>
      <c r="P29" s="56"/>
      <c r="Q29" s="57"/>
      <c r="R29" s="57"/>
    </row>
    <row r="30" spans="2:18" ht="48">
      <c r="B30" s="58" t="s">
        <v>46</v>
      </c>
      <c r="C30" s="59" t="s">
        <v>41</v>
      </c>
      <c r="D30" s="59" t="s">
        <v>42</v>
      </c>
      <c r="E30" s="59" t="s">
        <v>20</v>
      </c>
      <c r="F30" s="59" t="s">
        <v>21</v>
      </c>
      <c r="G30" s="59" t="s">
        <v>47</v>
      </c>
      <c r="H30" s="59" t="s">
        <v>43</v>
      </c>
      <c r="I30" s="59" t="s">
        <v>23</v>
      </c>
      <c r="J30" s="59" t="s">
        <v>24</v>
      </c>
      <c r="K30" s="59" t="s">
        <v>25</v>
      </c>
      <c r="L30" s="59" t="s">
        <v>26</v>
      </c>
      <c r="M30" s="59" t="s">
        <v>27</v>
      </c>
      <c r="N30" s="59" t="s">
        <v>28</v>
      </c>
      <c r="O30" s="59" t="s">
        <v>29</v>
      </c>
      <c r="P30" s="59" t="s">
        <v>30</v>
      </c>
      <c r="Q30" s="60" t="s">
        <v>31</v>
      </c>
      <c r="R30" s="60" t="s">
        <v>48</v>
      </c>
    </row>
    <row r="31" spans="2:18">
      <c r="B31" s="61" t="s">
        <v>49</v>
      </c>
      <c r="C31" s="62">
        <f>C32-(C32*$Q$8)</f>
        <v>9800000</v>
      </c>
      <c r="D31" s="62"/>
      <c r="E31" s="62"/>
      <c r="F31" s="62"/>
      <c r="G31" s="62">
        <f>C31</f>
        <v>9800000</v>
      </c>
      <c r="H31" s="62"/>
      <c r="I31" s="62"/>
      <c r="J31" s="62"/>
      <c r="K31" s="62"/>
      <c r="L31" s="62"/>
      <c r="M31" s="63"/>
      <c r="N31" s="64"/>
      <c r="O31" s="64"/>
      <c r="P31" s="64"/>
      <c r="Q31" s="65"/>
      <c r="R31" s="65"/>
    </row>
    <row r="32" spans="2:18">
      <c r="B32" s="61" t="s">
        <v>33</v>
      </c>
      <c r="C32" s="62">
        <f>SUM(C33:C34)</f>
        <v>10000000</v>
      </c>
      <c r="D32" s="62"/>
      <c r="E32" s="62"/>
      <c r="F32" s="62"/>
      <c r="G32" s="62">
        <f>C32</f>
        <v>10000000</v>
      </c>
      <c r="H32" s="62"/>
      <c r="I32" s="62"/>
      <c r="J32" s="62"/>
      <c r="K32" s="62"/>
      <c r="L32" s="62"/>
      <c r="M32" s="63"/>
      <c r="N32" s="64"/>
      <c r="O32" s="64"/>
      <c r="P32" s="64"/>
      <c r="Q32" s="65"/>
      <c r="R32" s="65"/>
    </row>
    <row r="33" spans="2:18">
      <c r="B33" s="61" t="s">
        <v>34</v>
      </c>
      <c r="C33" s="62">
        <f>C24</f>
        <v>5000000</v>
      </c>
      <c r="D33" s="62"/>
      <c r="E33" s="62"/>
      <c r="F33" s="62"/>
      <c r="G33" s="62"/>
      <c r="H33" s="62"/>
      <c r="I33" s="62"/>
      <c r="J33" s="62"/>
      <c r="K33" s="62"/>
      <c r="L33" s="62"/>
      <c r="M33" s="63"/>
      <c r="N33" s="64"/>
      <c r="O33" s="64"/>
      <c r="P33" s="64"/>
      <c r="Q33" s="65"/>
      <c r="R33" s="65"/>
    </row>
    <row r="34" spans="2:18">
      <c r="B34" s="61" t="s">
        <v>35</v>
      </c>
      <c r="C34" s="62">
        <f>C25</f>
        <v>5000000</v>
      </c>
      <c r="D34" s="62"/>
      <c r="E34" s="62"/>
      <c r="F34" s="62"/>
      <c r="G34" s="62"/>
      <c r="H34" s="62"/>
      <c r="I34" s="62"/>
      <c r="J34" s="62"/>
      <c r="K34" s="62"/>
      <c r="L34" s="62"/>
      <c r="M34" s="63"/>
      <c r="N34" s="64"/>
      <c r="O34" s="64"/>
      <c r="P34" s="64"/>
      <c r="Q34" s="65"/>
      <c r="R34" s="65"/>
    </row>
    <row r="35" spans="2:18">
      <c r="B35" s="61" t="s">
        <v>36</v>
      </c>
      <c r="C35" s="62"/>
      <c r="D35" s="62">
        <f>C33</f>
        <v>5000000</v>
      </c>
      <c r="E35" s="62"/>
      <c r="F35" s="62">
        <f>SUM(D35:E35)</f>
        <v>5000000</v>
      </c>
      <c r="G35" s="62">
        <f>($G$31/$G$32)*F35</f>
        <v>4900000</v>
      </c>
      <c r="H35" s="62">
        <f>G35</f>
        <v>4900000</v>
      </c>
      <c r="I35" s="62">
        <f t="shared" ref="I35:J37" si="5">I26</f>
        <v>5000000</v>
      </c>
      <c r="J35" s="62">
        <f t="shared" si="5"/>
        <v>-5000000</v>
      </c>
      <c r="K35" s="62">
        <f>J35+H35</f>
        <v>-100000</v>
      </c>
      <c r="L35" s="62">
        <f>IF(H35-I35&gt;0,H35-I35,0)</f>
        <v>0</v>
      </c>
      <c r="M35" s="66">
        <f>ABS((H35-H17))/H17</f>
        <v>0.02</v>
      </c>
      <c r="N35" s="67">
        <f>IF(K35&gt;0,K35*SMPS,K35*SMPB)/100</f>
        <v>-49900</v>
      </c>
      <c r="O35" s="67">
        <f>ABS(L35)*CAPOR/100*-1</f>
        <v>0</v>
      </c>
      <c r="P35" s="67">
        <f>IF(M35&gt;5%,ABS($H$17-H35)*$Q$6,IF(AND(M35&gt;=3%,M35&lt;=5%),ABS($H$17-H35)*$Q$5,ABS($H$17-H35)*$Q$4))/100*-1</f>
        <v>0</v>
      </c>
      <c r="Q35" s="68">
        <f>SUM(N35:P35)</f>
        <v>-49900</v>
      </c>
      <c r="R35" s="68">
        <f t="shared" ref="R35:R37" si="6">Q35*-1</f>
        <v>49900</v>
      </c>
    </row>
    <row r="36" spans="2:18">
      <c r="B36" s="61" t="s">
        <v>37</v>
      </c>
      <c r="C36" s="62"/>
      <c r="D36" s="62">
        <f>C34</f>
        <v>5000000</v>
      </c>
      <c r="E36" s="62">
        <f>IF(D36&gt;-E27,E27,-D36)</f>
        <v>-250000</v>
      </c>
      <c r="F36" s="62">
        <f t="shared" ref="F36:F37" si="7">SUM(D36:E36)</f>
        <v>4750000</v>
      </c>
      <c r="G36" s="62">
        <f>($G$31/$G$32)*F36</f>
        <v>4655000</v>
      </c>
      <c r="H36" s="62">
        <f t="shared" ref="H36:H37" si="8">G36</f>
        <v>4655000</v>
      </c>
      <c r="I36" s="62">
        <f t="shared" si="5"/>
        <v>4750000</v>
      </c>
      <c r="J36" s="62">
        <f t="shared" si="5"/>
        <v>-4750000</v>
      </c>
      <c r="K36" s="62">
        <f>J36+H36</f>
        <v>-95000</v>
      </c>
      <c r="L36" s="62">
        <f>IF(H36-I36&gt;0,H36-I36,0)</f>
        <v>0</v>
      </c>
      <c r="M36" s="66">
        <f>ABS((H36-H18))/H18</f>
        <v>0.02</v>
      </c>
      <c r="N36" s="67">
        <f>IF(K36&gt;0,K36*SMPS,K36*SMPB)/100</f>
        <v>-47405</v>
      </c>
      <c r="O36" s="67">
        <f>ABS(L36)*CAPOR/100*-1</f>
        <v>0</v>
      </c>
      <c r="P36" s="67">
        <f>IF(M36&gt;5%,ABS($H$18-H36)*$Q$6,IF(AND(M36&gt;=3%,M36&lt;=5%),ABS($H$18-H36)*$Q$5,ABS($H$18-H36)*$Q$4))/100*-1</f>
        <v>0</v>
      </c>
      <c r="Q36" s="68">
        <f>SUM(N36:P36)</f>
        <v>-47405</v>
      </c>
      <c r="R36" s="68">
        <f t="shared" si="6"/>
        <v>47405</v>
      </c>
    </row>
    <row r="37" spans="2:18">
      <c r="B37" s="61" t="s">
        <v>38</v>
      </c>
      <c r="C37" s="62"/>
      <c r="D37" s="62"/>
      <c r="E37" s="62">
        <f>-E36</f>
        <v>250000</v>
      </c>
      <c r="F37" s="62">
        <f t="shared" si="7"/>
        <v>250000</v>
      </c>
      <c r="G37" s="62">
        <f>($G$31/$G$32)*F37</f>
        <v>245000</v>
      </c>
      <c r="H37" s="62">
        <f t="shared" si="8"/>
        <v>245000</v>
      </c>
      <c r="I37" s="62">
        <f t="shared" si="5"/>
        <v>250000</v>
      </c>
      <c r="J37" s="62">
        <f t="shared" si="5"/>
        <v>-250000</v>
      </c>
      <c r="K37" s="62">
        <f>J37+H37</f>
        <v>-5000</v>
      </c>
      <c r="L37" s="62">
        <f>IF(H37-I37&gt;0,H37-I37,0)</f>
        <v>0</v>
      </c>
      <c r="M37" s="66">
        <f>ABS((H37-H19))/H19</f>
        <v>0.02</v>
      </c>
      <c r="N37" s="67">
        <f>IF(K37&gt;0,K37*SMPS,K37*SMPB)/100</f>
        <v>-2495</v>
      </c>
      <c r="O37" s="67">
        <f>ABS(L37)*CAPOR/100*-1</f>
        <v>0</v>
      </c>
      <c r="P37" s="67">
        <f>IF(M37&gt;5%,ABS($H$19-H37)*$Q$6,IF(AND(M37&gt;=3%,M37&lt;=5%),ABS($H$19-H37)*$Q$5,ABS($H$19-H37)*$Q$4))/100*-1</f>
        <v>0</v>
      </c>
      <c r="Q37" s="68">
        <f>SUM(N37:P37)</f>
        <v>-2495</v>
      </c>
      <c r="R37" s="68">
        <f t="shared" si="6"/>
        <v>2495</v>
      </c>
    </row>
    <row r="38" spans="2:18">
      <c r="B38" s="69" t="s">
        <v>50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1"/>
      <c r="N38" s="72"/>
      <c r="O38" s="72"/>
      <c r="P38" s="72"/>
      <c r="Q38" s="73"/>
      <c r="R38" s="73"/>
    </row>
    <row r="39" spans="2:18" ht="48">
      <c r="B39" s="74" t="s">
        <v>51</v>
      </c>
      <c r="C39" s="75" t="s">
        <v>41</v>
      </c>
      <c r="D39" s="75" t="s">
        <v>42</v>
      </c>
      <c r="E39" s="75" t="s">
        <v>20</v>
      </c>
      <c r="F39" s="75" t="s">
        <v>21</v>
      </c>
      <c r="G39" s="75" t="s">
        <v>47</v>
      </c>
      <c r="H39" s="75" t="s">
        <v>43</v>
      </c>
      <c r="I39" s="75" t="s">
        <v>23</v>
      </c>
      <c r="J39" s="75" t="s">
        <v>24</v>
      </c>
      <c r="K39" s="75" t="s">
        <v>25</v>
      </c>
      <c r="L39" s="75" t="s">
        <v>26</v>
      </c>
      <c r="M39" s="75" t="s">
        <v>27</v>
      </c>
      <c r="N39" s="76" t="s">
        <v>28</v>
      </c>
      <c r="O39" s="76" t="s">
        <v>29</v>
      </c>
      <c r="P39" s="76" t="s">
        <v>30</v>
      </c>
      <c r="Q39" s="77" t="s">
        <v>31</v>
      </c>
      <c r="R39" s="77" t="s">
        <v>52</v>
      </c>
    </row>
    <row r="40" spans="2:18">
      <c r="B40" s="78" t="s">
        <v>49</v>
      </c>
      <c r="C40" s="79">
        <f>C41+(C41*$Q$8)</f>
        <v>10200000</v>
      </c>
      <c r="D40" s="79"/>
      <c r="E40" s="79"/>
      <c r="F40" s="79"/>
      <c r="G40" s="79">
        <f>C40</f>
        <v>10200000</v>
      </c>
      <c r="H40" s="79"/>
      <c r="I40" s="79"/>
      <c r="J40" s="79"/>
      <c r="K40" s="79"/>
      <c r="L40" s="79"/>
      <c r="M40" s="80"/>
      <c r="N40" s="81"/>
      <c r="O40" s="81"/>
      <c r="P40" s="81"/>
      <c r="Q40" s="82"/>
      <c r="R40" s="82"/>
    </row>
    <row r="41" spans="2:18">
      <c r="B41" s="78" t="s">
        <v>33</v>
      </c>
      <c r="C41" s="79">
        <f>SUM(C42:C43)</f>
        <v>10000000</v>
      </c>
      <c r="D41" s="79"/>
      <c r="E41" s="79"/>
      <c r="F41" s="79"/>
      <c r="G41" s="79">
        <f>C41</f>
        <v>10000000</v>
      </c>
      <c r="H41" s="79"/>
      <c r="I41" s="79"/>
      <c r="J41" s="79"/>
      <c r="K41" s="79"/>
      <c r="L41" s="79"/>
      <c r="M41" s="80"/>
      <c r="N41" s="81"/>
      <c r="O41" s="81"/>
      <c r="P41" s="81"/>
      <c r="Q41" s="82"/>
      <c r="R41" s="82"/>
    </row>
    <row r="42" spans="2:18">
      <c r="B42" s="78" t="s">
        <v>34</v>
      </c>
      <c r="C42" s="79">
        <f>C24</f>
        <v>5000000</v>
      </c>
      <c r="D42" s="79"/>
      <c r="E42" s="79"/>
      <c r="F42" s="79"/>
      <c r="G42" s="79"/>
      <c r="H42" s="79"/>
      <c r="I42" s="79"/>
      <c r="J42" s="79"/>
      <c r="K42" s="79"/>
      <c r="L42" s="79"/>
      <c r="M42" s="80"/>
      <c r="N42" s="81"/>
      <c r="O42" s="81"/>
      <c r="P42" s="81"/>
      <c r="Q42" s="82"/>
      <c r="R42" s="82"/>
    </row>
    <row r="43" spans="2:18">
      <c r="B43" s="78" t="s">
        <v>35</v>
      </c>
      <c r="C43" s="79">
        <f>C25</f>
        <v>5000000</v>
      </c>
      <c r="D43" s="79"/>
      <c r="E43" s="79"/>
      <c r="F43" s="79"/>
      <c r="G43" s="79"/>
      <c r="H43" s="79"/>
      <c r="I43" s="79"/>
      <c r="J43" s="79"/>
      <c r="K43" s="79"/>
      <c r="L43" s="79"/>
      <c r="M43" s="80"/>
      <c r="N43" s="81"/>
      <c r="O43" s="81"/>
      <c r="P43" s="81"/>
      <c r="Q43" s="82"/>
      <c r="R43" s="82"/>
    </row>
    <row r="44" spans="2:18">
      <c r="B44" s="78" t="s">
        <v>36</v>
      </c>
      <c r="C44" s="79"/>
      <c r="D44" s="79">
        <f>C42</f>
        <v>5000000</v>
      </c>
      <c r="E44" s="79"/>
      <c r="F44" s="79">
        <f>SUM(D44:E44)</f>
        <v>5000000</v>
      </c>
      <c r="G44" s="79">
        <f>(G40/$G$41)*F44</f>
        <v>5100000</v>
      </c>
      <c r="H44" s="79">
        <f>G44</f>
        <v>5100000</v>
      </c>
      <c r="I44" s="79">
        <f t="shared" ref="I44:J46" si="9">I35</f>
        <v>5000000</v>
      </c>
      <c r="J44" s="79">
        <f t="shared" si="9"/>
        <v>-5000000</v>
      </c>
      <c r="K44" s="79">
        <f>J44+H44</f>
        <v>100000</v>
      </c>
      <c r="L44" s="79">
        <f>IF(H44-I44&gt;0,H44-I44,0)</f>
        <v>100000</v>
      </c>
      <c r="M44" s="83">
        <f>ABS((H44-H17))/H17</f>
        <v>0.02</v>
      </c>
      <c r="N44" s="81">
        <f>IF(K44&gt;0,K44*SMPS,K44*SMPB)/100</f>
        <v>48130</v>
      </c>
      <c r="O44" s="81">
        <f>ABS(L44)*CAPOR/100*-1</f>
        <v>-2000</v>
      </c>
      <c r="P44" s="81">
        <f>IF(M44&gt;5%,ABS($H$17-H44)*$Q$6,IF(AND(M44&gt;=3%,M44&lt;=5%),ABS($H$17-H44)*$Q$5,ABS($H$17-H44)*$Q$4))/100*-1</f>
        <v>0</v>
      </c>
      <c r="Q44" s="82">
        <f>SUM(N44:P44)</f>
        <v>46130</v>
      </c>
      <c r="R44" s="82">
        <f t="shared" ref="R44:R46" si="10">Q44*-1</f>
        <v>-46130</v>
      </c>
    </row>
    <row r="45" spans="2:18">
      <c r="B45" s="78" t="s">
        <v>37</v>
      </c>
      <c r="C45" s="79"/>
      <c r="D45" s="79">
        <f>C43</f>
        <v>5000000</v>
      </c>
      <c r="E45" s="79">
        <f>IF(D45&gt;-E36,E36,-D45)</f>
        <v>-250000</v>
      </c>
      <c r="F45" s="79">
        <f t="shared" ref="F45:F46" si="11">SUM(D45:E45)</f>
        <v>4750000</v>
      </c>
      <c r="G45" s="79">
        <f>(G40/$G$41)*F45</f>
        <v>4845000</v>
      </c>
      <c r="H45" s="79">
        <f t="shared" ref="H45:H46" si="12">G45</f>
        <v>4845000</v>
      </c>
      <c r="I45" s="79">
        <f t="shared" si="9"/>
        <v>4750000</v>
      </c>
      <c r="J45" s="79">
        <f t="shared" si="9"/>
        <v>-4750000</v>
      </c>
      <c r="K45" s="79">
        <f>J45+H45</f>
        <v>95000</v>
      </c>
      <c r="L45" s="79">
        <f>IF(H45-I45&gt;0,H45-I45,0)</f>
        <v>95000</v>
      </c>
      <c r="M45" s="83">
        <f>ABS((H45-H18))/H18</f>
        <v>0.02</v>
      </c>
      <c r="N45" s="81">
        <f>IF(K45&gt;0,K45*SMPS,K45*SMPB)/100</f>
        <v>45723.5</v>
      </c>
      <c r="O45" s="81">
        <f>ABS(L45)*CAPOR/100*-1</f>
        <v>-1900</v>
      </c>
      <c r="P45" s="81">
        <f>IF(M45&gt;5%,ABS($H$18-H45)*$Q$6,IF(AND(M45&gt;=3%,M45&lt;=5%),ABS($H$18-H45)*$Q$5,ABS($H$18-H45)*$Q$4))/100*-1</f>
        <v>0</v>
      </c>
      <c r="Q45" s="82">
        <f>SUM(N45:P45)</f>
        <v>43823.5</v>
      </c>
      <c r="R45" s="82">
        <f t="shared" si="10"/>
        <v>-43823.5</v>
      </c>
    </row>
    <row r="46" spans="2:18" ht="13" thickBot="1">
      <c r="B46" s="84" t="s">
        <v>38</v>
      </c>
      <c r="C46" s="85"/>
      <c r="D46" s="85"/>
      <c r="E46" s="85">
        <f>-E45</f>
        <v>250000</v>
      </c>
      <c r="F46" s="85">
        <f t="shared" si="11"/>
        <v>250000</v>
      </c>
      <c r="G46" s="85">
        <f>(G40/$G$41)*F46</f>
        <v>255000</v>
      </c>
      <c r="H46" s="85">
        <f t="shared" si="12"/>
        <v>255000</v>
      </c>
      <c r="I46" s="85">
        <f t="shared" si="9"/>
        <v>250000</v>
      </c>
      <c r="J46" s="85">
        <f t="shared" si="9"/>
        <v>-250000</v>
      </c>
      <c r="K46" s="85">
        <f>J46+H46</f>
        <v>5000</v>
      </c>
      <c r="L46" s="85">
        <f>IF(H46-I46&gt;0,H46-I46,0)</f>
        <v>5000</v>
      </c>
      <c r="M46" s="86">
        <f>ABS((H46-H19))/H19</f>
        <v>0.02</v>
      </c>
      <c r="N46" s="87">
        <f>IF(K46&gt;0,K46*SMPS,K46*SMPB)/100</f>
        <v>2406.5</v>
      </c>
      <c r="O46" s="87">
        <f>ABS(L46)*CAPOR/100*-1</f>
        <v>-100</v>
      </c>
      <c r="P46" s="87">
        <f>IF(M46&gt;5%,ABS($H$19-H46)*$Q$6,IF(AND(M46&gt;=3%,M46&lt;=5%),ABS($H$19-H46)*$Q$5,ABS($H$19-H46)*$Q$4))/100*-1</f>
        <v>0</v>
      </c>
      <c r="Q46" s="88">
        <f>SUM(N46:P46)</f>
        <v>2306.5</v>
      </c>
      <c r="R46" s="88">
        <f t="shared" si="10"/>
        <v>-2306.5</v>
      </c>
    </row>
    <row r="47" spans="2:18" ht="13" thickBot="1"/>
    <row r="48" spans="2:18" ht="49">
      <c r="B48" s="114" t="s">
        <v>55</v>
      </c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89" t="s">
        <v>28</v>
      </c>
      <c r="O48" s="89" t="s">
        <v>29</v>
      </c>
      <c r="P48" s="89" t="s">
        <v>30</v>
      </c>
      <c r="Q48" s="90" t="s">
        <v>31</v>
      </c>
      <c r="R48" s="90" t="s">
        <v>53</v>
      </c>
    </row>
    <row r="49" spans="2:18">
      <c r="B49" s="91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3"/>
      <c r="O49" s="93"/>
      <c r="P49" s="93"/>
      <c r="Q49" s="94"/>
      <c r="R49" s="94"/>
    </row>
    <row r="50" spans="2:18">
      <c r="B50" s="95" t="s">
        <v>54</v>
      </c>
      <c r="C50" s="96"/>
      <c r="D50" s="96"/>
      <c r="E50" s="96"/>
      <c r="F50" s="96"/>
      <c r="G50" s="96"/>
      <c r="H50" s="96"/>
      <c r="I50" s="96"/>
      <c r="J50" s="96"/>
      <c r="K50" s="96"/>
      <c r="L50" s="96"/>
      <c r="M50" s="96"/>
      <c r="N50" s="97">
        <f>SUM(N52:N54)</f>
        <v>-3540</v>
      </c>
      <c r="O50" s="97">
        <f>SUM(O52:O54)</f>
        <v>-4000</v>
      </c>
      <c r="P50" s="97">
        <f>SUM(P52:P54)</f>
        <v>0</v>
      </c>
      <c r="Q50" s="98">
        <f>SUM(Q52:Q54)</f>
        <v>-7540</v>
      </c>
      <c r="R50" s="98">
        <f>SUM(R52:R54)</f>
        <v>7540</v>
      </c>
    </row>
    <row r="51" spans="2:18">
      <c r="B51" s="95"/>
      <c r="C51" s="96"/>
      <c r="D51" s="96"/>
      <c r="E51" s="96"/>
      <c r="F51" s="96"/>
      <c r="G51" s="96"/>
      <c r="H51" s="96"/>
      <c r="I51" s="96"/>
      <c r="J51" s="96"/>
      <c r="K51" s="96"/>
      <c r="L51" s="96"/>
      <c r="M51" s="96"/>
      <c r="N51" s="99"/>
      <c r="O51" s="99"/>
      <c r="P51" s="99"/>
      <c r="Q51" s="100"/>
      <c r="R51" s="100"/>
    </row>
    <row r="52" spans="2:18">
      <c r="B52" s="101" t="s">
        <v>36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3"/>
      <c r="N52" s="104">
        <f>(N35+N44)-(N26*2)</f>
        <v>-1770</v>
      </c>
      <c r="O52" s="104">
        <f>(O35+O44)-(O26*2)</f>
        <v>-2000</v>
      </c>
      <c r="P52" s="104">
        <f>(P35+P44)-(P26*2)</f>
        <v>0</v>
      </c>
      <c r="Q52" s="105">
        <f t="shared" ref="N52:R54" si="13">(Q35+Q44)-(Q26*2)</f>
        <v>-3770</v>
      </c>
      <c r="R52" s="105">
        <f t="shared" si="13"/>
        <v>3770</v>
      </c>
    </row>
    <row r="53" spans="2:18">
      <c r="B53" s="101" t="s">
        <v>37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3"/>
      <c r="N53" s="106">
        <f t="shared" si="13"/>
        <v>-1681.5</v>
      </c>
      <c r="O53" s="106">
        <f t="shared" si="13"/>
        <v>-1900</v>
      </c>
      <c r="P53" s="106">
        <f t="shared" si="13"/>
        <v>0</v>
      </c>
      <c r="Q53" s="107">
        <f t="shared" si="13"/>
        <v>-3581.5</v>
      </c>
      <c r="R53" s="107">
        <f t="shared" si="13"/>
        <v>3581.5</v>
      </c>
    </row>
    <row r="54" spans="2:18" ht="13" thickBot="1">
      <c r="B54" s="108" t="s">
        <v>38</v>
      </c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10"/>
      <c r="N54" s="111">
        <f t="shared" si="13"/>
        <v>-88.5</v>
      </c>
      <c r="O54" s="111">
        <f t="shared" si="13"/>
        <v>-100</v>
      </c>
      <c r="P54" s="111">
        <f t="shared" si="13"/>
        <v>0</v>
      </c>
      <c r="Q54" s="112">
        <f t="shared" si="13"/>
        <v>-188.5</v>
      </c>
      <c r="R54" s="112">
        <f t="shared" si="13"/>
        <v>188.5</v>
      </c>
    </row>
  </sheetData>
  <mergeCells count="2">
    <mergeCell ref="B9:Q9"/>
    <mergeCell ref="B48:M48"/>
  </mergeCells>
  <pageMargins left="0.51181102362204722" right="0.51181102362204722" top="0.55118110236220474" bottom="0.55118110236220474" header="0.11811023622047245" footer="0.11811023622047245"/>
  <pageSetup paperSize="9" scale="52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Gas Day Option A Simple</vt:lpstr>
    </vt:vector>
  </TitlesOfParts>
  <Company>BP International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Loydall, Colin D</dc:creator>
  <cp:lastModifiedBy>Les Jenkins</cp:lastModifiedBy>
  <cp:lastPrinted>2015-08-27T14:06:21Z</cp:lastPrinted>
  <dcterms:created xsi:type="dcterms:W3CDTF">2015-08-27T14:06:17Z</dcterms:created>
  <dcterms:modified xsi:type="dcterms:W3CDTF">2015-09-02T08:51:50Z</dcterms:modified>
</cp:coreProperties>
</file>