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CO2 UNC Mod\"/>
    </mc:Choice>
  </mc:AlternateContent>
  <bookViews>
    <workbookView xWindow="0" yWindow="195" windowWidth="19065" windowHeight="7485"/>
  </bookViews>
  <sheets>
    <sheet name="Full Cycle Summary" sheetId="12" r:id="rId1"/>
    <sheet name="CO2 Impact Assessment" sheetId="9" r:id="rId2"/>
    <sheet name="Full Cycle Cost Benefit" sheetId="15" r:id="rId3"/>
    <sheet name="Scenario 1 - NTS Delivery" sheetId="17" r:id="rId4"/>
    <sheet name="Scenario 2 - Offshore Removal" sheetId="13" r:id="rId5"/>
    <sheet name="Scenario 3 - Onshore Removal" sheetId="16" r:id="rId6"/>
    <sheet name="Assumptions" sheetId="11" r:id="rId7"/>
  </sheets>
  <calcPr calcId="152511"/>
</workbook>
</file>

<file path=xl/calcChain.xml><?xml version="1.0" encoding="utf-8"?>
<calcChain xmlns="http://schemas.openxmlformats.org/spreadsheetml/2006/main">
  <c r="M45" i="15" l="1"/>
  <c r="N45" i="15"/>
  <c r="O45" i="15"/>
  <c r="P45" i="15"/>
  <c r="Q45" i="15"/>
  <c r="R45" i="15"/>
  <c r="S45" i="15"/>
  <c r="T45" i="15"/>
  <c r="U45" i="15"/>
  <c r="V45" i="15"/>
  <c r="W45" i="15"/>
  <c r="L45" i="15"/>
  <c r="M33" i="15"/>
  <c r="N33" i="15"/>
  <c r="O33" i="15"/>
  <c r="P33" i="15"/>
  <c r="Q33" i="15"/>
  <c r="R33" i="15"/>
  <c r="S33" i="15"/>
  <c r="T33" i="15"/>
  <c r="U33" i="15"/>
  <c r="V33" i="15"/>
  <c r="W33" i="15"/>
  <c r="L33" i="15"/>
  <c r="M17" i="15"/>
  <c r="N17" i="15"/>
  <c r="O17" i="15"/>
  <c r="P17" i="15"/>
  <c r="Q17" i="15"/>
  <c r="R17" i="15"/>
  <c r="S17" i="15"/>
  <c r="T17" i="15"/>
  <c r="U17" i="15"/>
  <c r="V17" i="15"/>
  <c r="W17" i="15"/>
  <c r="L17" i="15"/>
  <c r="X12" i="15"/>
  <c r="G47" i="15"/>
  <c r="H47" i="15"/>
  <c r="G35" i="15"/>
  <c r="H35" i="15"/>
  <c r="G3" i="15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H3" i="9"/>
  <c r="I3" i="9"/>
  <c r="J3" i="9"/>
  <c r="K3" i="9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G3" i="9"/>
  <c r="M39" i="15" l="1"/>
  <c r="N39" i="15"/>
  <c r="O39" i="15"/>
  <c r="P39" i="15"/>
  <c r="Q39" i="15"/>
  <c r="R39" i="15"/>
  <c r="S39" i="15"/>
  <c r="T39" i="15"/>
  <c r="U39" i="15"/>
  <c r="V39" i="15"/>
  <c r="W39" i="15"/>
  <c r="M40" i="15"/>
  <c r="N40" i="15"/>
  <c r="O40" i="15"/>
  <c r="P40" i="15"/>
  <c r="Q40" i="15"/>
  <c r="R40" i="15"/>
  <c r="S40" i="15"/>
  <c r="T40" i="15"/>
  <c r="U40" i="15"/>
  <c r="V40" i="15"/>
  <c r="W40" i="15"/>
  <c r="M41" i="15"/>
  <c r="N41" i="15"/>
  <c r="O41" i="15"/>
  <c r="P41" i="15"/>
  <c r="Q41" i="15"/>
  <c r="R41" i="15"/>
  <c r="S41" i="15"/>
  <c r="T41" i="15"/>
  <c r="U41" i="15"/>
  <c r="V41" i="15"/>
  <c r="W41" i="15"/>
  <c r="M42" i="15"/>
  <c r="N42" i="15"/>
  <c r="O42" i="15"/>
  <c r="P42" i="15"/>
  <c r="Q42" i="15"/>
  <c r="R42" i="15"/>
  <c r="S42" i="15"/>
  <c r="T42" i="15"/>
  <c r="U42" i="15"/>
  <c r="V42" i="15"/>
  <c r="W42" i="15"/>
  <c r="L42" i="15"/>
  <c r="L41" i="15"/>
  <c r="L40" i="15"/>
  <c r="L39" i="15"/>
  <c r="M16" i="15"/>
  <c r="N16" i="15"/>
  <c r="O16" i="15"/>
  <c r="P16" i="15"/>
  <c r="Q16" i="15"/>
  <c r="R16" i="15"/>
  <c r="S16" i="15"/>
  <c r="T16" i="15"/>
  <c r="U16" i="15"/>
  <c r="V16" i="15"/>
  <c r="W16" i="15"/>
  <c r="L16" i="15"/>
  <c r="M5" i="15"/>
  <c r="N5" i="15"/>
  <c r="O5" i="15"/>
  <c r="P5" i="15"/>
  <c r="Q5" i="15"/>
  <c r="R5" i="15"/>
  <c r="S5" i="15"/>
  <c r="T5" i="15"/>
  <c r="U5" i="15"/>
  <c r="V5" i="15"/>
  <c r="W5" i="15"/>
  <c r="L5" i="15"/>
  <c r="M35" i="9"/>
  <c r="N35" i="9"/>
  <c r="O35" i="9"/>
  <c r="P35" i="9"/>
  <c r="Q35" i="9"/>
  <c r="R35" i="9"/>
  <c r="S35" i="9"/>
  <c r="T35" i="9"/>
  <c r="U35" i="9"/>
  <c r="V35" i="9"/>
  <c r="W35" i="9"/>
  <c r="M36" i="9"/>
  <c r="N36" i="9"/>
  <c r="O36" i="9"/>
  <c r="P36" i="9"/>
  <c r="Q36" i="9"/>
  <c r="R36" i="9"/>
  <c r="S36" i="9"/>
  <c r="T36" i="9"/>
  <c r="U36" i="9"/>
  <c r="V36" i="9"/>
  <c r="W36" i="9"/>
  <c r="M37" i="9"/>
  <c r="N37" i="9"/>
  <c r="O37" i="9"/>
  <c r="P37" i="9"/>
  <c r="Q37" i="9"/>
  <c r="R37" i="9"/>
  <c r="S37" i="9"/>
  <c r="T37" i="9"/>
  <c r="U37" i="9"/>
  <c r="V37" i="9"/>
  <c r="W37" i="9"/>
  <c r="M38" i="9"/>
  <c r="N38" i="9"/>
  <c r="O38" i="9"/>
  <c r="P38" i="9"/>
  <c r="Q38" i="9"/>
  <c r="R38" i="9"/>
  <c r="S38" i="9"/>
  <c r="T38" i="9"/>
  <c r="U38" i="9"/>
  <c r="V38" i="9"/>
  <c r="W38" i="9"/>
  <c r="L38" i="9"/>
  <c r="L37" i="9"/>
  <c r="L36" i="9"/>
  <c r="L35" i="9"/>
  <c r="M15" i="9"/>
  <c r="N15" i="9"/>
  <c r="O15" i="9"/>
  <c r="P15" i="9"/>
  <c r="Q15" i="9"/>
  <c r="R15" i="9"/>
  <c r="S15" i="9"/>
  <c r="T15" i="9"/>
  <c r="U15" i="9"/>
  <c r="V15" i="9"/>
  <c r="W15" i="9"/>
  <c r="L15" i="9"/>
  <c r="C8" i="12"/>
  <c r="N12" i="17"/>
  <c r="M12" i="17"/>
  <c r="L12" i="17"/>
  <c r="K12" i="17"/>
  <c r="J12" i="17"/>
  <c r="I12" i="17"/>
  <c r="H12" i="17"/>
  <c r="G12" i="17"/>
  <c r="F12" i="17"/>
  <c r="E12" i="17"/>
  <c r="D12" i="17"/>
  <c r="C12" i="17"/>
  <c r="N5" i="17"/>
  <c r="N11" i="17" s="1"/>
  <c r="M5" i="17"/>
  <c r="M11" i="17" s="1"/>
  <c r="L5" i="17"/>
  <c r="L11" i="17" s="1"/>
  <c r="L14" i="17" s="1"/>
  <c r="K5" i="17"/>
  <c r="K11" i="17" s="1"/>
  <c r="K10" i="17" s="1"/>
  <c r="J5" i="17"/>
  <c r="J11" i="17" s="1"/>
  <c r="J14" i="17" s="1"/>
  <c r="I5" i="17"/>
  <c r="I11" i="17" s="1"/>
  <c r="H5" i="17"/>
  <c r="H11" i="17" s="1"/>
  <c r="G5" i="17"/>
  <c r="G11" i="17" s="1"/>
  <c r="G10" i="17" s="1"/>
  <c r="F5" i="17"/>
  <c r="F11" i="17" s="1"/>
  <c r="E5" i="17"/>
  <c r="E11" i="17" s="1"/>
  <c r="D5" i="17"/>
  <c r="D11" i="17" s="1"/>
  <c r="C5" i="17"/>
  <c r="C11" i="17" s="1"/>
  <c r="C10" i="17" s="1"/>
  <c r="D3" i="17"/>
  <c r="E3" i="17" s="1"/>
  <c r="F3" i="17" s="1"/>
  <c r="G3" i="17" s="1"/>
  <c r="H3" i="17" s="1"/>
  <c r="I3" i="17" s="1"/>
  <c r="J3" i="17" s="1"/>
  <c r="K3" i="17" s="1"/>
  <c r="L3" i="17" s="1"/>
  <c r="M3" i="17" s="1"/>
  <c r="N3" i="17" s="1"/>
  <c r="D49" i="16"/>
  <c r="E49" i="16"/>
  <c r="F49" i="16"/>
  <c r="G49" i="16"/>
  <c r="H49" i="16"/>
  <c r="I49" i="16"/>
  <c r="J49" i="16"/>
  <c r="K49" i="16"/>
  <c r="L49" i="16"/>
  <c r="M49" i="16"/>
  <c r="N49" i="16"/>
  <c r="C4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D11" i="16"/>
  <c r="D24" i="16" s="1"/>
  <c r="D25" i="16" s="1"/>
  <c r="N5" i="16"/>
  <c r="N12" i="16" s="1"/>
  <c r="M5" i="16"/>
  <c r="M12" i="16" s="1"/>
  <c r="L5" i="16"/>
  <c r="L12" i="16" s="1"/>
  <c r="L15" i="16" s="1"/>
  <c r="L16" i="16" s="1"/>
  <c r="K5" i="16"/>
  <c r="K12" i="16" s="1"/>
  <c r="K15" i="16" s="1"/>
  <c r="K18" i="16" s="1"/>
  <c r="J5" i="16"/>
  <c r="J12" i="16" s="1"/>
  <c r="I5" i="16"/>
  <c r="I12" i="16" s="1"/>
  <c r="I11" i="16" s="1"/>
  <c r="I24" i="16" s="1"/>
  <c r="I25" i="16" s="1"/>
  <c r="H5" i="16"/>
  <c r="H12" i="16" s="1"/>
  <c r="H15" i="16" s="1"/>
  <c r="H16" i="16" s="1"/>
  <c r="G5" i="16"/>
  <c r="G12" i="16" s="1"/>
  <c r="G15" i="16" s="1"/>
  <c r="G16" i="16" s="1"/>
  <c r="F5" i="16"/>
  <c r="F12" i="16" s="1"/>
  <c r="E5" i="16"/>
  <c r="E12" i="16" s="1"/>
  <c r="D5" i="16"/>
  <c r="D12" i="16" s="1"/>
  <c r="D15" i="16" s="1"/>
  <c r="D16" i="16" s="1"/>
  <c r="C5" i="16"/>
  <c r="C12" i="16" s="1"/>
  <c r="C15" i="16" s="1"/>
  <c r="C16" i="16" s="1"/>
  <c r="D3" i="16"/>
  <c r="E3" i="16" s="1"/>
  <c r="F3" i="16" s="1"/>
  <c r="G3" i="16" s="1"/>
  <c r="H3" i="16" s="1"/>
  <c r="I3" i="16" s="1"/>
  <c r="J3" i="16" s="1"/>
  <c r="K3" i="16" s="1"/>
  <c r="L3" i="16" s="1"/>
  <c r="M3" i="16" s="1"/>
  <c r="N3" i="16" s="1"/>
  <c r="X5" i="15" l="1"/>
  <c r="N43" i="15"/>
  <c r="V43" i="15"/>
  <c r="R43" i="15"/>
  <c r="U43" i="15"/>
  <c r="Q43" i="15"/>
  <c r="M43" i="15"/>
  <c r="T43" i="15"/>
  <c r="P43" i="15"/>
  <c r="W43" i="15"/>
  <c r="S43" i="15"/>
  <c r="O43" i="15"/>
  <c r="N39" i="9"/>
  <c r="V39" i="9"/>
  <c r="R39" i="9"/>
  <c r="U39" i="9"/>
  <c r="Q39" i="9"/>
  <c r="M39" i="9"/>
  <c r="T39" i="9"/>
  <c r="P39" i="9"/>
  <c r="W39" i="9"/>
  <c r="S39" i="9"/>
  <c r="O39" i="9"/>
  <c r="K16" i="16"/>
  <c r="G14" i="17"/>
  <c r="H14" i="17"/>
  <c r="H10" i="17"/>
  <c r="L10" i="17"/>
  <c r="C14" i="17"/>
  <c r="D14" i="17"/>
  <c r="D10" i="17"/>
  <c r="E14" i="17"/>
  <c r="E10" i="17"/>
  <c r="I14" i="17"/>
  <c r="I10" i="17"/>
  <c r="M14" i="17"/>
  <c r="M10" i="17"/>
  <c r="F14" i="17"/>
  <c r="F10" i="17"/>
  <c r="N14" i="17"/>
  <c r="N10" i="17"/>
  <c r="J15" i="17"/>
  <c r="J18" i="17" s="1"/>
  <c r="L15" i="17"/>
  <c r="L18" i="17" s="1"/>
  <c r="J10" i="17"/>
  <c r="K14" i="17"/>
  <c r="L11" i="16"/>
  <c r="L24" i="16" s="1"/>
  <c r="L25" i="16" s="1"/>
  <c r="L30" i="16" s="1"/>
  <c r="H18" i="16"/>
  <c r="H20" i="16"/>
  <c r="F15" i="16"/>
  <c r="F16" i="16" s="1"/>
  <c r="F11" i="16"/>
  <c r="F24" i="16" s="1"/>
  <c r="F25" i="16" s="1"/>
  <c r="J15" i="16"/>
  <c r="J16" i="16" s="1"/>
  <c r="J11" i="16"/>
  <c r="J24" i="16" s="1"/>
  <c r="J25" i="16" s="1"/>
  <c r="N15" i="16"/>
  <c r="N16" i="16" s="1"/>
  <c r="N11" i="16"/>
  <c r="N24" i="16" s="1"/>
  <c r="N25" i="16" s="1"/>
  <c r="E11" i="16"/>
  <c r="E24" i="16" s="1"/>
  <c r="E25" i="16" s="1"/>
  <c r="E15" i="16"/>
  <c r="E16" i="16" s="1"/>
  <c r="M11" i="16"/>
  <c r="M24" i="16" s="1"/>
  <c r="M25" i="16" s="1"/>
  <c r="M15" i="16"/>
  <c r="M16" i="16" s="1"/>
  <c r="D33" i="16"/>
  <c r="D30" i="16"/>
  <c r="D18" i="16"/>
  <c r="G18" i="16"/>
  <c r="G20" i="16"/>
  <c r="K20" i="16"/>
  <c r="G11" i="16"/>
  <c r="G24" i="16" s="1"/>
  <c r="G25" i="16" s="1"/>
  <c r="I30" i="16"/>
  <c r="I33" i="16"/>
  <c r="C11" i="16"/>
  <c r="C24" i="16" s="1"/>
  <c r="C25" i="16" s="1"/>
  <c r="K11" i="16"/>
  <c r="K24" i="16" s="1"/>
  <c r="K25" i="16" s="1"/>
  <c r="I15" i="16"/>
  <c r="I16" i="16" s="1"/>
  <c r="D20" i="16"/>
  <c r="L18" i="16"/>
  <c r="L20" i="16"/>
  <c r="C18" i="16"/>
  <c r="H11" i="16"/>
  <c r="H24" i="16" s="1"/>
  <c r="H25" i="16" s="1"/>
  <c r="C20" i="16"/>
  <c r="L33" i="16" l="1"/>
  <c r="H15" i="17"/>
  <c r="H18" i="17" s="1"/>
  <c r="G15" i="17"/>
  <c r="G18" i="17" s="1"/>
  <c r="C15" i="17"/>
  <c r="C18" i="17" s="1"/>
  <c r="N15" i="17"/>
  <c r="N18" i="17" s="1"/>
  <c r="I15" i="17"/>
  <c r="I18" i="17" s="1"/>
  <c r="K15" i="17"/>
  <c r="K18" i="17" s="1"/>
  <c r="D15" i="17"/>
  <c r="D18" i="17" s="1"/>
  <c r="F15" i="17"/>
  <c r="F18" i="17" s="1"/>
  <c r="M15" i="17"/>
  <c r="M18" i="17" s="1"/>
  <c r="E15" i="17"/>
  <c r="E18" i="17" s="1"/>
  <c r="H33" i="16"/>
  <c r="H30" i="16"/>
  <c r="C30" i="16"/>
  <c r="C33" i="16"/>
  <c r="E30" i="16"/>
  <c r="E33" i="16"/>
  <c r="N18" i="16"/>
  <c r="N20" i="16"/>
  <c r="F20" i="16"/>
  <c r="F18" i="16"/>
  <c r="L31" i="16"/>
  <c r="L32" i="16"/>
  <c r="L36" i="16"/>
  <c r="L37" i="16" s="1"/>
  <c r="L40" i="16" s="1"/>
  <c r="L42" i="16" s="1"/>
  <c r="L43" i="16" s="1"/>
  <c r="L51" i="16" s="1"/>
  <c r="K30" i="16"/>
  <c r="K33" i="16"/>
  <c r="I32" i="16"/>
  <c r="I36" i="16"/>
  <c r="I37" i="16" s="1"/>
  <c r="I40" i="16" s="1"/>
  <c r="I42" i="16" s="1"/>
  <c r="I43" i="16" s="1"/>
  <c r="I51" i="16" s="1"/>
  <c r="I31" i="16"/>
  <c r="D31" i="16"/>
  <c r="D36" i="16"/>
  <c r="D37" i="16" s="1"/>
  <c r="D40" i="16" s="1"/>
  <c r="D42" i="16" s="1"/>
  <c r="D32" i="16"/>
  <c r="M20" i="16"/>
  <c r="M18" i="16"/>
  <c r="J33" i="16"/>
  <c r="J30" i="16"/>
  <c r="M30" i="16"/>
  <c r="M33" i="16"/>
  <c r="J20" i="16"/>
  <c r="J18" i="16"/>
  <c r="I20" i="16"/>
  <c r="I18" i="16"/>
  <c r="G30" i="16"/>
  <c r="G33" i="16"/>
  <c r="E20" i="16"/>
  <c r="E18" i="16"/>
  <c r="N33" i="16"/>
  <c r="N30" i="16"/>
  <c r="F33" i="16"/>
  <c r="F30" i="16"/>
  <c r="D43" i="16" l="1"/>
  <c r="D51" i="16" s="1"/>
  <c r="F31" i="16"/>
  <c r="F32" i="16"/>
  <c r="F36" i="16"/>
  <c r="F37" i="16" s="1"/>
  <c r="F40" i="16" s="1"/>
  <c r="F42" i="16" s="1"/>
  <c r="F43" i="16" s="1"/>
  <c r="F51" i="16" s="1"/>
  <c r="G36" i="16"/>
  <c r="G37" i="16" s="1"/>
  <c r="G40" i="16" s="1"/>
  <c r="G42" i="16" s="1"/>
  <c r="G32" i="16"/>
  <c r="G31" i="16"/>
  <c r="C36" i="16"/>
  <c r="C37" i="16" s="1"/>
  <c r="C40" i="16" s="1"/>
  <c r="C42" i="16" s="1"/>
  <c r="C32" i="16"/>
  <c r="C31" i="16"/>
  <c r="K36" i="16"/>
  <c r="K37" i="16" s="1"/>
  <c r="K40" i="16" s="1"/>
  <c r="K42" i="16" s="1"/>
  <c r="K32" i="16"/>
  <c r="K31" i="16"/>
  <c r="H31" i="16"/>
  <c r="H36" i="16"/>
  <c r="H37" i="16" s="1"/>
  <c r="H40" i="16" s="1"/>
  <c r="H42" i="16" s="1"/>
  <c r="H32" i="16"/>
  <c r="N31" i="16"/>
  <c r="N32" i="16"/>
  <c r="N36" i="16"/>
  <c r="N37" i="16" s="1"/>
  <c r="N40" i="16" s="1"/>
  <c r="N42" i="16" s="1"/>
  <c r="M32" i="16"/>
  <c r="M36" i="16"/>
  <c r="M37" i="16" s="1"/>
  <c r="M40" i="16" s="1"/>
  <c r="M42" i="16" s="1"/>
  <c r="M31" i="16"/>
  <c r="J31" i="16"/>
  <c r="J36" i="16"/>
  <c r="J37" i="16" s="1"/>
  <c r="J40" i="16" s="1"/>
  <c r="J42" i="16" s="1"/>
  <c r="J32" i="16"/>
  <c r="E32" i="16"/>
  <c r="E36" i="16"/>
  <c r="E37" i="16" s="1"/>
  <c r="E40" i="16" s="1"/>
  <c r="E42" i="16" s="1"/>
  <c r="E31" i="16"/>
  <c r="P18" i="17" l="1"/>
  <c r="J43" i="16"/>
  <c r="J51" i="16" s="1"/>
  <c r="C43" i="16"/>
  <c r="C51" i="16" s="1"/>
  <c r="G43" i="16"/>
  <c r="G51" i="16" s="1"/>
  <c r="E43" i="16"/>
  <c r="E51" i="16" s="1"/>
  <c r="N43" i="16"/>
  <c r="N51" i="16" s="1"/>
  <c r="H43" i="16"/>
  <c r="H51" i="16" s="1"/>
  <c r="K43" i="16"/>
  <c r="K51" i="16" s="1"/>
  <c r="M43" i="16"/>
  <c r="M51" i="16" s="1"/>
  <c r="P51" i="16" l="1"/>
  <c r="D5" i="13" l="1"/>
  <c r="D12" i="13" s="1"/>
  <c r="E5" i="13"/>
  <c r="E12" i="13" s="1"/>
  <c r="F5" i="13"/>
  <c r="F12" i="13" s="1"/>
  <c r="G5" i="13"/>
  <c r="G12" i="13" s="1"/>
  <c r="H5" i="13"/>
  <c r="H12" i="13" s="1"/>
  <c r="I5" i="13"/>
  <c r="I12" i="13" s="1"/>
  <c r="J5" i="13"/>
  <c r="J12" i="13" s="1"/>
  <c r="K5" i="13"/>
  <c r="K12" i="13" s="1"/>
  <c r="L5" i="13"/>
  <c r="L12" i="13" s="1"/>
  <c r="M5" i="13"/>
  <c r="M12" i="13" s="1"/>
  <c r="N5" i="13"/>
  <c r="N12" i="13" s="1"/>
  <c r="C5" i="13"/>
  <c r="C12" i="13" s="1"/>
  <c r="N11" i="13" l="1"/>
  <c r="N15" i="13"/>
  <c r="J11" i="13"/>
  <c r="J15" i="13"/>
  <c r="F11" i="13"/>
  <c r="F15" i="13"/>
  <c r="M15" i="13"/>
  <c r="M11" i="13"/>
  <c r="I11" i="13"/>
  <c r="I15" i="13"/>
  <c r="E11" i="13"/>
  <c r="E15" i="13"/>
  <c r="L11" i="13"/>
  <c r="L15" i="13"/>
  <c r="H11" i="13"/>
  <c r="H15" i="13"/>
  <c r="D11" i="13"/>
  <c r="D15" i="13"/>
  <c r="C15" i="13"/>
  <c r="C11" i="13"/>
  <c r="K11" i="13"/>
  <c r="K15" i="13"/>
  <c r="G11" i="13"/>
  <c r="G15" i="13"/>
  <c r="I35" i="15"/>
  <c r="J35" i="15"/>
  <c r="K35" i="15"/>
  <c r="F35" i="15"/>
  <c r="Y32" i="15"/>
  <c r="X32" i="15"/>
  <c r="D32" i="15"/>
  <c r="D21" i="12" s="1"/>
  <c r="I47" i="15"/>
  <c r="J47" i="15"/>
  <c r="K47" i="15"/>
  <c r="F47" i="15"/>
  <c r="Y44" i="15"/>
  <c r="X44" i="15"/>
  <c r="D44" i="15"/>
  <c r="E21" i="12" s="1"/>
  <c r="D8" i="12"/>
  <c r="W28" i="15" l="1"/>
  <c r="V28" i="15"/>
  <c r="U28" i="15"/>
  <c r="T28" i="15"/>
  <c r="S28" i="15"/>
  <c r="R28" i="15"/>
  <c r="Q28" i="15"/>
  <c r="P28" i="15"/>
  <c r="O28" i="15"/>
  <c r="N28" i="15"/>
  <c r="M28" i="15"/>
  <c r="L28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M25" i="9"/>
  <c r="N25" i="9"/>
  <c r="O25" i="9"/>
  <c r="P25" i="9"/>
  <c r="Q25" i="9"/>
  <c r="R25" i="9"/>
  <c r="S25" i="9"/>
  <c r="T25" i="9"/>
  <c r="U25" i="9"/>
  <c r="V25" i="9"/>
  <c r="W25" i="9"/>
  <c r="L25" i="9"/>
  <c r="Y28" i="15" l="1"/>
  <c r="X28" i="15"/>
  <c r="Y39" i="15"/>
  <c r="X39" i="15"/>
  <c r="M26" i="9" l="1"/>
  <c r="N26" i="9"/>
  <c r="O26" i="9"/>
  <c r="P26" i="9"/>
  <c r="Q26" i="9"/>
  <c r="R26" i="9"/>
  <c r="S26" i="9"/>
  <c r="T26" i="9"/>
  <c r="U26" i="9"/>
  <c r="V26" i="9"/>
  <c r="W26" i="9"/>
  <c r="L26" i="9"/>
  <c r="N39" i="13"/>
  <c r="M39" i="13"/>
  <c r="L39" i="13"/>
  <c r="K39" i="13"/>
  <c r="J39" i="13"/>
  <c r="I39" i="13"/>
  <c r="H39" i="13"/>
  <c r="G39" i="13"/>
  <c r="F39" i="13"/>
  <c r="E39" i="13"/>
  <c r="D39" i="13"/>
  <c r="C39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N24" i="13"/>
  <c r="N25" i="13" s="1"/>
  <c r="N33" i="13" s="1"/>
  <c r="M24" i="13"/>
  <c r="M25" i="13" s="1"/>
  <c r="L24" i="13"/>
  <c r="L25" i="13" s="1"/>
  <c r="K24" i="13"/>
  <c r="K25" i="13" s="1"/>
  <c r="K33" i="13" s="1"/>
  <c r="J24" i="13"/>
  <c r="J25" i="13" s="1"/>
  <c r="I24" i="13"/>
  <c r="I25" i="13" s="1"/>
  <c r="I33" i="13" s="1"/>
  <c r="H24" i="13"/>
  <c r="H25" i="13" s="1"/>
  <c r="G24" i="13"/>
  <c r="G25" i="13" s="1"/>
  <c r="G33" i="13" s="1"/>
  <c r="F24" i="13"/>
  <c r="F25" i="13" s="1"/>
  <c r="E24" i="13"/>
  <c r="E25" i="13" s="1"/>
  <c r="E33" i="13" s="1"/>
  <c r="D24" i="13"/>
  <c r="D25" i="13" s="1"/>
  <c r="C24" i="13"/>
  <c r="C25" i="13" s="1"/>
  <c r="C33" i="13" s="1"/>
  <c r="N20" i="13"/>
  <c r="M20" i="13"/>
  <c r="L20" i="13"/>
  <c r="K20" i="13"/>
  <c r="J20" i="13"/>
  <c r="I20" i="13"/>
  <c r="H20" i="13"/>
  <c r="G20" i="13"/>
  <c r="F20" i="13"/>
  <c r="E20" i="13"/>
  <c r="D20" i="13"/>
  <c r="C20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6" i="13"/>
  <c r="W29" i="15" s="1"/>
  <c r="M16" i="13"/>
  <c r="V29" i="15" s="1"/>
  <c r="L16" i="13"/>
  <c r="U29" i="15" s="1"/>
  <c r="K16" i="13"/>
  <c r="T29" i="15" s="1"/>
  <c r="J16" i="13"/>
  <c r="S29" i="15" s="1"/>
  <c r="I16" i="13"/>
  <c r="R29" i="15" s="1"/>
  <c r="H16" i="13"/>
  <c r="Q29" i="15" s="1"/>
  <c r="G16" i="13"/>
  <c r="P29" i="15" s="1"/>
  <c r="F16" i="13"/>
  <c r="O29" i="15" s="1"/>
  <c r="E16" i="13"/>
  <c r="N29" i="15" s="1"/>
  <c r="D16" i="13"/>
  <c r="M29" i="15" s="1"/>
  <c r="C16" i="13"/>
  <c r="L29" i="15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D3" i="13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F30" i="13" l="1"/>
  <c r="F36" i="13" s="1"/>
  <c r="F37" i="13" s="1"/>
  <c r="F40" i="13" s="1"/>
  <c r="F42" i="13" s="1"/>
  <c r="F43" i="13" s="1"/>
  <c r="F45" i="13" s="1"/>
  <c r="M30" i="13"/>
  <c r="M36" i="13" s="1"/>
  <c r="M37" i="13" s="1"/>
  <c r="M40" i="13" s="1"/>
  <c r="M42" i="13" s="1"/>
  <c r="M43" i="13" s="1"/>
  <c r="P27" i="9"/>
  <c r="V27" i="9"/>
  <c r="N27" i="9"/>
  <c r="T27" i="9"/>
  <c r="R27" i="9"/>
  <c r="U27" i="9"/>
  <c r="Q27" i="9"/>
  <c r="M27" i="9"/>
  <c r="W27" i="9"/>
  <c r="S27" i="9"/>
  <c r="O27" i="9"/>
  <c r="C29" i="15"/>
  <c r="Y29" i="15"/>
  <c r="X29" i="15"/>
  <c r="L27" i="9"/>
  <c r="J33" i="13"/>
  <c r="J30" i="13"/>
  <c r="J36" i="13" s="1"/>
  <c r="J37" i="13" s="1"/>
  <c r="J40" i="13" s="1"/>
  <c r="J42" i="13" s="1"/>
  <c r="J43" i="13" s="1"/>
  <c r="J45" i="13" s="1"/>
  <c r="F33" i="13"/>
  <c r="N30" i="13"/>
  <c r="N36" i="13" s="1"/>
  <c r="N37" i="13" s="1"/>
  <c r="N40" i="13" s="1"/>
  <c r="N42" i="13" s="1"/>
  <c r="N43" i="13" s="1"/>
  <c r="Y26" i="9"/>
  <c r="X26" i="9"/>
  <c r="L33" i="13"/>
  <c r="L30" i="13"/>
  <c r="H33" i="13"/>
  <c r="H30" i="13"/>
  <c r="E30" i="13"/>
  <c r="G30" i="13"/>
  <c r="M33" i="13"/>
  <c r="D33" i="13"/>
  <c r="D30" i="13"/>
  <c r="I30" i="13"/>
  <c r="C30" i="13"/>
  <c r="K30" i="13"/>
  <c r="F32" i="13" l="1"/>
  <c r="F31" i="13"/>
  <c r="M31" i="13"/>
  <c r="M32" i="13"/>
  <c r="N32" i="13"/>
  <c r="O28" i="9"/>
  <c r="O29" i="9" s="1"/>
  <c r="O31" i="9" s="1"/>
  <c r="O30" i="15"/>
  <c r="O31" i="15" s="1"/>
  <c r="O35" i="15" s="1"/>
  <c r="J32" i="13"/>
  <c r="J31" i="13"/>
  <c r="C27" i="9"/>
  <c r="D6" i="12" s="1"/>
  <c r="X27" i="9"/>
  <c r="Y27" i="9"/>
  <c r="W30" i="15"/>
  <c r="W31" i="15" s="1"/>
  <c r="W35" i="15" s="1"/>
  <c r="W28" i="9"/>
  <c r="W29" i="9" s="1"/>
  <c r="W31" i="9" s="1"/>
  <c r="N31" i="13"/>
  <c r="M45" i="13"/>
  <c r="V30" i="15"/>
  <c r="V31" i="15" s="1"/>
  <c r="V35" i="15" s="1"/>
  <c r="V28" i="9"/>
  <c r="V29" i="9" s="1"/>
  <c r="V31" i="9" s="1"/>
  <c r="N45" i="13"/>
  <c r="S30" i="15"/>
  <c r="S31" i="15" s="1"/>
  <c r="S35" i="15" s="1"/>
  <c r="S28" i="9"/>
  <c r="S29" i="9" s="1"/>
  <c r="S31" i="9" s="1"/>
  <c r="C32" i="13"/>
  <c r="C31" i="13"/>
  <c r="C36" i="13"/>
  <c r="C37" i="13" s="1"/>
  <c r="C40" i="13" s="1"/>
  <c r="C42" i="13" s="1"/>
  <c r="C43" i="13" s="1"/>
  <c r="L36" i="13"/>
  <c r="L37" i="13" s="1"/>
  <c r="L40" i="13" s="1"/>
  <c r="L42" i="13" s="1"/>
  <c r="L43" i="13" s="1"/>
  <c r="L31" i="13"/>
  <c r="L32" i="13"/>
  <c r="K32" i="13"/>
  <c r="K31" i="13"/>
  <c r="K36" i="13"/>
  <c r="K37" i="13" s="1"/>
  <c r="K40" i="13" s="1"/>
  <c r="K42" i="13" s="1"/>
  <c r="K43" i="13" s="1"/>
  <c r="I36" i="13"/>
  <c r="I37" i="13" s="1"/>
  <c r="I40" i="13" s="1"/>
  <c r="I42" i="13" s="1"/>
  <c r="I43" i="13" s="1"/>
  <c r="I31" i="13"/>
  <c r="I32" i="13"/>
  <c r="G32" i="13"/>
  <c r="G36" i="13"/>
  <c r="G37" i="13" s="1"/>
  <c r="G40" i="13" s="1"/>
  <c r="G42" i="13" s="1"/>
  <c r="G43" i="13" s="1"/>
  <c r="G31" i="13"/>
  <c r="E36" i="13"/>
  <c r="E37" i="13" s="1"/>
  <c r="E40" i="13" s="1"/>
  <c r="E42" i="13" s="1"/>
  <c r="E43" i="13" s="1"/>
  <c r="E31" i="13"/>
  <c r="E32" i="13"/>
  <c r="D36" i="13"/>
  <c r="D37" i="13" s="1"/>
  <c r="D40" i="13" s="1"/>
  <c r="D42" i="13" s="1"/>
  <c r="D43" i="13" s="1"/>
  <c r="D31" i="13"/>
  <c r="D32" i="13"/>
  <c r="H36" i="13"/>
  <c r="H37" i="13" s="1"/>
  <c r="H40" i="13" s="1"/>
  <c r="H42" i="13" s="1"/>
  <c r="H43" i="13" s="1"/>
  <c r="H31" i="13"/>
  <c r="H32" i="13"/>
  <c r="H45" i="13" l="1"/>
  <c r="Q30" i="15"/>
  <c r="Q31" i="15" s="1"/>
  <c r="Q35" i="15" s="1"/>
  <c r="Q28" i="9"/>
  <c r="Q29" i="9" s="1"/>
  <c r="Q31" i="9" s="1"/>
  <c r="E45" i="13"/>
  <c r="N30" i="15"/>
  <c r="N31" i="15" s="1"/>
  <c r="N35" i="15" s="1"/>
  <c r="N28" i="9"/>
  <c r="N29" i="9" s="1"/>
  <c r="N31" i="9" s="1"/>
  <c r="D45" i="13"/>
  <c r="M30" i="15"/>
  <c r="M31" i="15" s="1"/>
  <c r="M35" i="15" s="1"/>
  <c r="M28" i="9"/>
  <c r="M29" i="9" s="1"/>
  <c r="M31" i="9" s="1"/>
  <c r="I45" i="13"/>
  <c r="R30" i="15"/>
  <c r="R31" i="15" s="1"/>
  <c r="R35" i="15" s="1"/>
  <c r="R28" i="9"/>
  <c r="R29" i="9" s="1"/>
  <c r="R31" i="9" s="1"/>
  <c r="G45" i="13"/>
  <c r="P30" i="15"/>
  <c r="P31" i="15" s="1"/>
  <c r="P35" i="15" s="1"/>
  <c r="P28" i="9"/>
  <c r="P29" i="9" s="1"/>
  <c r="P31" i="9" s="1"/>
  <c r="K45" i="13"/>
  <c r="T30" i="15"/>
  <c r="T31" i="15" s="1"/>
  <c r="T35" i="15" s="1"/>
  <c r="T28" i="9"/>
  <c r="T29" i="9" s="1"/>
  <c r="T31" i="9" s="1"/>
  <c r="L45" i="13"/>
  <c r="U30" i="15"/>
  <c r="U31" i="15" s="1"/>
  <c r="U35" i="15" s="1"/>
  <c r="U28" i="9"/>
  <c r="U29" i="9" s="1"/>
  <c r="U31" i="9" s="1"/>
  <c r="C45" i="13"/>
  <c r="L30" i="15"/>
  <c r="L28" i="9"/>
  <c r="P45" i="13" l="1"/>
  <c r="C28" i="9"/>
  <c r="D7" i="12" s="1"/>
  <c r="D9" i="12" s="1"/>
  <c r="L29" i="9"/>
  <c r="X28" i="9"/>
  <c r="Y28" i="9"/>
  <c r="Y30" i="15"/>
  <c r="L31" i="15"/>
  <c r="X30" i="15"/>
  <c r="C30" i="15"/>
  <c r="C31" i="15" l="1"/>
  <c r="X31" i="15"/>
  <c r="Y31" i="15"/>
  <c r="L31" i="9"/>
  <c r="C29" i="9"/>
  <c r="X29" i="9"/>
  <c r="Y29" i="9"/>
  <c r="D33" i="15" l="1"/>
  <c r="X33" i="15"/>
  <c r="Y33" i="15"/>
  <c r="L35" i="15"/>
  <c r="D31" i="9"/>
  <c r="Y31" i="9"/>
  <c r="X31" i="9"/>
  <c r="Y35" i="15" l="1"/>
  <c r="D35" i="15"/>
  <c r="X35" i="15"/>
  <c r="D13" i="12"/>
  <c r="Y5" i="15"/>
  <c r="C42" i="15" l="1"/>
  <c r="X42" i="15"/>
  <c r="Y42" i="15"/>
  <c r="C38" i="9"/>
  <c r="X38" i="9"/>
  <c r="Y38" i="9" s="1"/>
  <c r="S21" i="15" l="1"/>
  <c r="O21" i="15"/>
  <c r="R21" i="15"/>
  <c r="N18" i="15"/>
  <c r="M21" i="15"/>
  <c r="R20" i="9"/>
  <c r="N20" i="9"/>
  <c r="M16" i="9"/>
  <c r="O20" i="9"/>
  <c r="S16" i="9"/>
  <c r="O18" i="15"/>
  <c r="O19" i="15" l="1"/>
  <c r="O23" i="15" s="1"/>
  <c r="C40" i="15"/>
  <c r="E6" i="12" s="1"/>
  <c r="C36" i="9"/>
  <c r="X40" i="15"/>
  <c r="Y40" i="15"/>
  <c r="R18" i="15"/>
  <c r="N19" i="15"/>
  <c r="N21" i="15"/>
  <c r="P21" i="15"/>
  <c r="V18" i="15"/>
  <c r="S18" i="15"/>
  <c r="M18" i="15"/>
  <c r="M19" i="15" s="1"/>
  <c r="M23" i="15" s="1"/>
  <c r="R19" i="15"/>
  <c r="R23" i="15" s="1"/>
  <c r="W18" i="15"/>
  <c r="U21" i="15"/>
  <c r="Q21" i="15"/>
  <c r="L16" i="9"/>
  <c r="N17" i="9"/>
  <c r="S17" i="9"/>
  <c r="S18" i="9" s="1"/>
  <c r="N16" i="9"/>
  <c r="M17" i="9"/>
  <c r="M18" i="9" s="1"/>
  <c r="S20" i="9"/>
  <c r="O17" i="9"/>
  <c r="O16" i="9"/>
  <c r="L17" i="9"/>
  <c r="L18" i="9" s="1"/>
  <c r="U20" i="9"/>
  <c r="T20" i="9"/>
  <c r="M20" i="9"/>
  <c r="R16" i="9"/>
  <c r="V20" i="9"/>
  <c r="R17" i="9"/>
  <c r="L20" i="9"/>
  <c r="Q17" i="9"/>
  <c r="W16" i="9"/>
  <c r="P17" i="9"/>
  <c r="V21" i="15"/>
  <c r="R41" i="9"/>
  <c r="X36" i="9"/>
  <c r="M41" i="9"/>
  <c r="L21" i="15"/>
  <c r="L18" i="15"/>
  <c r="N18" i="9" l="1"/>
  <c r="N22" i="9" s="1"/>
  <c r="N23" i="15"/>
  <c r="W21" i="15"/>
  <c r="C16" i="15"/>
  <c r="R18" i="9"/>
  <c r="R22" i="9" s="1"/>
  <c r="S22" i="9"/>
  <c r="T21" i="15"/>
  <c r="X21" i="15" s="1"/>
  <c r="X16" i="15"/>
  <c r="Y16" i="15"/>
  <c r="U18" i="15"/>
  <c r="V19" i="15"/>
  <c r="V23" i="15" s="1"/>
  <c r="Q18" i="15"/>
  <c r="S19" i="15"/>
  <c r="S23" i="15" s="1"/>
  <c r="O47" i="15"/>
  <c r="S47" i="15"/>
  <c r="T18" i="15"/>
  <c r="T19" i="15" s="1"/>
  <c r="L43" i="15"/>
  <c r="R47" i="15"/>
  <c r="P18" i="15"/>
  <c r="N47" i="15"/>
  <c r="L39" i="9"/>
  <c r="L41" i="9" s="1"/>
  <c r="Q20" i="9"/>
  <c r="C15" i="9"/>
  <c r="T17" i="9"/>
  <c r="Y36" i="9"/>
  <c r="T16" i="9"/>
  <c r="V16" i="9"/>
  <c r="Q16" i="9"/>
  <c r="Q18" i="9" s="1"/>
  <c r="V17" i="9"/>
  <c r="W17" i="9"/>
  <c r="W18" i="9" s="1"/>
  <c r="O18" i="9"/>
  <c r="O22" i="9" s="1"/>
  <c r="W20" i="9"/>
  <c r="P20" i="9"/>
  <c r="S41" i="9"/>
  <c r="M22" i="9"/>
  <c r="U17" i="9"/>
  <c r="P16" i="9"/>
  <c r="U16" i="9"/>
  <c r="O41" i="9"/>
  <c r="X15" i="9"/>
  <c r="Y15" i="9" s="1"/>
  <c r="C37" i="9"/>
  <c r="L19" i="15"/>
  <c r="U41" i="9"/>
  <c r="Q41" i="9"/>
  <c r="T41" i="9"/>
  <c r="L22" i="9"/>
  <c r="Q19" i="15" l="1"/>
  <c r="Q23" i="15" s="1"/>
  <c r="C41" i="15"/>
  <c r="E7" i="12" s="1"/>
  <c r="L47" i="15"/>
  <c r="T23" i="15"/>
  <c r="Y21" i="15"/>
  <c r="T18" i="9"/>
  <c r="T22" i="9" s="1"/>
  <c r="X41" i="15"/>
  <c r="M47" i="15"/>
  <c r="Y17" i="15"/>
  <c r="D18" i="15"/>
  <c r="C14" i="12" s="1"/>
  <c r="X18" i="15"/>
  <c r="X17" i="15"/>
  <c r="D21" i="15"/>
  <c r="Y18" i="15"/>
  <c r="D17" i="15"/>
  <c r="C13" i="12" s="1"/>
  <c r="Y41" i="15"/>
  <c r="L23" i="15"/>
  <c r="U19" i="15"/>
  <c r="U23" i="15" s="1"/>
  <c r="W19" i="15"/>
  <c r="W23" i="15" s="1"/>
  <c r="P19" i="15"/>
  <c r="P23" i="15" s="1"/>
  <c r="T47" i="15"/>
  <c r="P47" i="15"/>
  <c r="W47" i="15"/>
  <c r="Q47" i="15"/>
  <c r="U47" i="15"/>
  <c r="V47" i="15"/>
  <c r="D17" i="9"/>
  <c r="D20" i="9"/>
  <c r="C17" i="12" s="1"/>
  <c r="Q22" i="9"/>
  <c r="D16" i="9"/>
  <c r="W22" i="9"/>
  <c r="X17" i="9"/>
  <c r="Y17" i="9" s="1"/>
  <c r="V18" i="9"/>
  <c r="V22" i="9" s="1"/>
  <c r="X16" i="9"/>
  <c r="X20" i="9"/>
  <c r="P18" i="9"/>
  <c r="W41" i="9"/>
  <c r="C9" i="12"/>
  <c r="V41" i="9"/>
  <c r="U18" i="9"/>
  <c r="U22" i="9" s="1"/>
  <c r="X37" i="9"/>
  <c r="Y37" i="9" s="1"/>
  <c r="N41" i="9"/>
  <c r="C43" i="15" l="1"/>
  <c r="C39" i="9"/>
  <c r="D45" i="15"/>
  <c r="X45" i="15"/>
  <c r="Y45" i="15"/>
  <c r="X19" i="15"/>
  <c r="Y47" i="15"/>
  <c r="D47" i="15"/>
  <c r="X47" i="15"/>
  <c r="Y23" i="15"/>
  <c r="X23" i="15"/>
  <c r="D23" i="15"/>
  <c r="Y43" i="15"/>
  <c r="D19" i="15"/>
  <c r="C15" i="12" s="1"/>
  <c r="C19" i="12" s="1"/>
  <c r="C25" i="12" s="1"/>
  <c r="X43" i="15"/>
  <c r="Y19" i="15"/>
  <c r="D18" i="9"/>
  <c r="X18" i="9"/>
  <c r="Y18" i="9" s="1"/>
  <c r="Y16" i="9"/>
  <c r="X39" i="9"/>
  <c r="Y39" i="9" s="1"/>
  <c r="Y20" i="9"/>
  <c r="P41" i="9"/>
  <c r="X41" i="9" s="1"/>
  <c r="P22" i="9"/>
  <c r="D22" i="9" s="1"/>
  <c r="E9" i="12"/>
  <c r="D15" i="12" l="1"/>
  <c r="D19" i="12" s="1"/>
  <c r="D23" i="12" s="1"/>
  <c r="E13" i="12"/>
  <c r="E15" i="12" s="1"/>
  <c r="E19" i="12" s="1"/>
  <c r="E23" i="12" s="1"/>
  <c r="E28" i="12" s="1"/>
  <c r="D41" i="9"/>
  <c r="X22" i="9"/>
  <c r="Y22" i="9" s="1"/>
  <c r="Y41" i="9"/>
  <c r="E25" i="12" l="1"/>
  <c r="D25" i="12"/>
</calcChain>
</file>

<file path=xl/comments1.xml><?xml version="1.0" encoding="utf-8"?>
<comments xmlns="http://schemas.openxmlformats.org/spreadsheetml/2006/main">
  <authors>
    <author>Jackie Atterton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Jackie Atterton:</t>
        </r>
        <r>
          <rPr>
            <sz val="9"/>
            <color indexed="81"/>
            <rFont val="Tahoma"/>
            <family val="2"/>
          </rPr>
          <t xml:space="preserve">
Traded price used on the assumption that offshore is captured under the EU ETS scheme
</t>
        </r>
      </text>
    </comment>
  </commentList>
</comments>
</file>

<file path=xl/comments2.xml><?xml version="1.0" encoding="utf-8"?>
<comments xmlns="http://schemas.openxmlformats.org/spreadsheetml/2006/main">
  <authors>
    <author>Jackie Atterton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>Jackie Atterton:</t>
        </r>
        <r>
          <rPr>
            <sz val="9"/>
            <color indexed="81"/>
            <rFont val="Tahoma"/>
            <family val="2"/>
          </rPr>
          <t xml:space="preserve">
Traded price used on the assumption that offshore is captured under the EU ETS scheme
</t>
        </r>
      </text>
    </comment>
  </commentList>
</comments>
</file>

<file path=xl/sharedStrings.xml><?xml version="1.0" encoding="utf-8"?>
<sst xmlns="http://schemas.openxmlformats.org/spreadsheetml/2006/main" count="265" uniqueCount="151">
  <si>
    <t>MEA</t>
  </si>
  <si>
    <r>
      <t>Acid Gas Conc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, y [mole%]</t>
    </r>
  </si>
  <si>
    <r>
      <t>Sour Gas Processed, Q [MSm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/day]</t>
    </r>
  </si>
  <si>
    <t>Amine Concn, x [mass%]</t>
  </si>
  <si>
    <t>mol acid gas pick-up per mol amine</t>
  </si>
  <si>
    <t>Gas Flowrate [MMSCFD]</t>
  </si>
  <si>
    <r>
      <t>Amine Flow, 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/d]</t>
    </r>
  </si>
  <si>
    <t>Amine Flow, [GPM]</t>
  </si>
  <si>
    <t>Contactor Pressure, P [kPa abs]</t>
  </si>
  <si>
    <t>Amine Contactor Diameter, Dc [mm]</t>
  </si>
  <si>
    <t>Case</t>
  </si>
  <si>
    <t>Full Field [MMSCFD]</t>
  </si>
  <si>
    <r>
      <t>Full Field [kSm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/hr]</t>
    </r>
  </si>
  <si>
    <t>CO2 Content In [mol%]</t>
  </si>
  <si>
    <t>CO2 Content Out [mol%]</t>
  </si>
  <si>
    <t>CO2 Removal Unit Flow [MMSCFD]</t>
  </si>
  <si>
    <r>
      <t>CO2 Removal Unit Flow [kSm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/hr]</t>
    </r>
  </si>
  <si>
    <t>CO2 Content Exit Unit [ppm]</t>
  </si>
  <si>
    <t>Quantities of CO2 removed [kg/hr]</t>
  </si>
  <si>
    <r>
      <t>Amine Flow, 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/hr]</t>
    </r>
  </si>
  <si>
    <t>CO2 Molecular Weight [kmol/kg]</t>
  </si>
  <si>
    <t>Benzene Molecular Weight [kmol/kg]</t>
  </si>
  <si>
    <t>Methane Molecular Weight [kmol/kg]</t>
  </si>
  <si>
    <t>Quantities of Hydrocarbons (assumed 1 mol%) [kg/hr]</t>
  </si>
  <si>
    <t>Quantities of VOC removed (assumed as 500 ppm) [kg/hr]</t>
  </si>
  <si>
    <t>Absorbed Reboiler Duty [MW]</t>
  </si>
  <si>
    <t>Heater Duty [MW]</t>
  </si>
  <si>
    <t>Fuel Gas HHV [MJ/kg]</t>
  </si>
  <si>
    <t>Fuel Gas Requirement [kg/hr]</t>
  </si>
  <si>
    <t>CO2 Emissions Factor [kg CO2 per kg FG]</t>
  </si>
  <si>
    <t>Quantities of CO2 removed [te per annum]</t>
  </si>
  <si>
    <t>CO2 Formed from Amine Unit FG [kg/hr]</t>
  </si>
  <si>
    <t>CO2 Formed from Amine Unit FG [te per annum]</t>
  </si>
  <si>
    <t>Removal Unit Efficiency [%]</t>
  </si>
  <si>
    <t>Thermal Efficiency at 90%</t>
  </si>
  <si>
    <t>Low</t>
  </si>
  <si>
    <t>High</t>
  </si>
  <si>
    <t>Total</t>
  </si>
  <si>
    <t>Annual Average</t>
  </si>
  <si>
    <t>Reference Data</t>
  </si>
  <si>
    <t>Field Forecast Flow (mscf/year)</t>
  </si>
  <si>
    <t>Field Forecast export Flow (th/year)</t>
  </si>
  <si>
    <t>Carbon Valuation 'Traded' (£/te C02)</t>
  </si>
  <si>
    <t>Carbon Valuation 'Traded' with Carbon Price Support (£/te C02)</t>
  </si>
  <si>
    <t>Carbon Valuation 'Non Traded' (£/te C02)</t>
  </si>
  <si>
    <t>Gas Price (p/th)</t>
  </si>
  <si>
    <t>Total UK Forecast C02 Emissions (MtC02)</t>
  </si>
  <si>
    <t>C02 emissions from amine process to 2.9mol% content (te)</t>
  </si>
  <si>
    <t>Additional C02 emissions from Amine unit fuel gas (te)</t>
  </si>
  <si>
    <t>Total cost of emissions (£)</t>
  </si>
  <si>
    <t>Total C02 emissions from Onshore removal (te)</t>
  </si>
  <si>
    <t>Additional C02 emissions from 4mol% to 2.9mol%  (te/C02)</t>
  </si>
  <si>
    <t>Cost of 'Traded' emissions (£)</t>
  </si>
  <si>
    <t>Cost of 'Traded' emissions with Carbon Price Support (£)</t>
  </si>
  <si>
    <t>Cost of 'Non Traded' emissions (£)</t>
  </si>
  <si>
    <t>Total Cost of emissions (£)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</si>
  <si>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Removed by Amine unit (4 mol% to 2.9 mol%) (te)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</si>
  <si>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in fuel gas consumed by Amine unit (te)</t>
    </r>
  </si>
  <si>
    <r>
      <t>Total additional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 (te)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</si>
  <si>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above 2.9 mol% emitted by consumers (te)</t>
    </r>
  </si>
  <si>
    <t>Carbon prices and sensitivities 2008-2100 for appraisal, 2014 £/tCO2e</t>
  </si>
  <si>
    <t>Gas Demand Split</t>
  </si>
  <si>
    <t>%</t>
  </si>
  <si>
    <t>Data</t>
  </si>
  <si>
    <t>Source</t>
  </si>
  <si>
    <r>
      <t>CO</t>
    </r>
    <r>
      <rPr>
        <b/>
        <vertAlign val="subscript"/>
        <sz val="12"/>
        <color theme="1"/>
        <rFont val="Calibri"/>
        <family val="2"/>
        <scheme val="minor"/>
      </rPr>
      <t xml:space="preserve">2 </t>
    </r>
    <r>
      <rPr>
        <b/>
        <sz val="12"/>
        <color theme="1"/>
        <rFont val="Calibri"/>
        <family val="2"/>
        <scheme val="minor"/>
      </rPr>
      <t>Content</t>
    </r>
  </si>
  <si>
    <t>Operator estimate - single field at 4 mol%. Expect CATS commingled gas to be lower on average</t>
  </si>
  <si>
    <t>Residential</t>
  </si>
  <si>
    <t>Amine Unit costs</t>
  </si>
  <si>
    <t>BP estimates - Amine unit fully installed cost</t>
  </si>
  <si>
    <t>Traded</t>
  </si>
  <si>
    <t>Non-traded</t>
  </si>
  <si>
    <t>Ind &amp; Commercial</t>
  </si>
  <si>
    <t>Central</t>
  </si>
  <si>
    <t>Power Generation</t>
  </si>
  <si>
    <t xml:space="preserve">ETS Carbon Valuation </t>
  </si>
  <si>
    <t>DECC Updated Energy &amp; Emissions Projections - September 2014, 'Carbon Prices - Industry and Services' upto 2035 (2036+ Traded price equals non-traded price)</t>
  </si>
  <si>
    <t>Gas Exports</t>
  </si>
  <si>
    <t>Carbon Valuation with Carbon Price Support</t>
  </si>
  <si>
    <t>DECC Updated Energy &amp; Emissions Projections - September 2014, 'Carbon Prices - Electricity Supply Sector' up to 2035 (2036+ inflated at 6% per year)</t>
  </si>
  <si>
    <t xml:space="preserve">Carbon Valuation 'Non Traded' </t>
  </si>
  <si>
    <t>DECC Appraisal Guide 2014,  Table 1-20: supporting the toolkit and guidance - Central Prices</t>
  </si>
  <si>
    <r>
      <t>Total UK Forecast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Emissions </t>
    </r>
  </si>
  <si>
    <t>DECC Updated Energy &amp; Emissions Projections - September 2014, Annex B Carbon Dioxide Emissions by Source</t>
  </si>
  <si>
    <t>Emissions cost by User Group</t>
  </si>
  <si>
    <t>Gas Usage split by gas demand Users (ETS, Carbon Support, non-ETS) - Nationalgrid, Future-Energy-Scenarios pg.168</t>
  </si>
  <si>
    <t xml:space="preserve">Source: DECC </t>
  </si>
  <si>
    <t>Further guidance on the use of carbon values is available from the appraisal guidance (Chapter 3) which can be downloaded from the Green Book supplementary guidance section of GOV.UK webpage:</t>
  </si>
  <si>
    <t>https://www.gov.uk/government/publications/valuation-of-energy-use-and-greenhouse-gas-emissions-for-appraisal</t>
  </si>
  <si>
    <t>For further details on carbon valuation, see:</t>
  </si>
  <si>
    <t>https://www.gov.uk/government/collections/carbon-valuation--2</t>
  </si>
  <si>
    <t>Profiles</t>
  </si>
  <si>
    <t>System Operator</t>
  </si>
  <si>
    <t>Scenario 2</t>
  </si>
  <si>
    <t>Scenario 3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</si>
  <si>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Total Non-Traded Cost (£/yr) (non-ETS consumption)</t>
    </r>
  </si>
  <si>
    <t>C02 emissions from amine process (4 mol% to 2.9mol% content (te)</t>
  </si>
  <si>
    <t>CO2 Emissions over the Life of Field TOTAL</t>
  </si>
  <si>
    <t>Total C02 emissions from Offshore removal (te)</t>
  </si>
  <si>
    <t>Field Forecast Flow (mscfd)</t>
  </si>
  <si>
    <t>Terminals Forecast Flow When Exceeding 2.9 mol% (mscfd)</t>
  </si>
  <si>
    <t>Number of Days Terminals anticipate CO2 in excess of 2.9 Mol %</t>
  </si>
  <si>
    <t>Forecast CO2 content when in excess of 2.9 Mol%</t>
  </si>
  <si>
    <t>Total Cost of Traded &amp; Traded with Price Support (£)</t>
  </si>
  <si>
    <t>NPV10</t>
  </si>
  <si>
    <t>Additional CO2 emissions from Amine when not in use (te)</t>
  </si>
  <si>
    <t>CO2 Emissions from warm Amine when unit not in use (Kg/hr)</t>
  </si>
  <si>
    <t>FG Requirement for non-operational Amine Unit (kg/hr)</t>
  </si>
  <si>
    <t>Heater Duty for amine heating when non-operational [MW]</t>
  </si>
  <si>
    <t>CO2 Formed in Standby Mode [kg/hr]</t>
  </si>
  <si>
    <t>CO2 Formed in Standby Mode [te per annum (335 days)]</t>
  </si>
  <si>
    <t>Total Cost of Traded &amp; Traded with Price Support emissions (£)</t>
  </si>
  <si>
    <t>Total CO2 (Te)</t>
  </si>
  <si>
    <t>Scenario 1</t>
  </si>
  <si>
    <t>Capex of Amine unit (£)</t>
  </si>
  <si>
    <t>Total Cost of Emissions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</si>
  <si>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Total ETS Traded Cost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</si>
  <si>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Total Traded Cost with Carbon Price Support</t>
    </r>
  </si>
  <si>
    <t xml:space="preserve">Total Estimated Emissions Cost </t>
  </si>
  <si>
    <t xml:space="preserve">Estimated Fully Installed Cost of Amine Unit </t>
  </si>
  <si>
    <t>Total CO2 emissions from Onshore removal (te)</t>
  </si>
  <si>
    <t>CATS CO2 Impact Assessment (Amine Unit Capex Excluded)</t>
  </si>
  <si>
    <t>CATS CO2 Full Cycle Cost/Benefit Analysis</t>
  </si>
  <si>
    <t>Scenario 1 - NTS Delivery at 4mol%</t>
  </si>
  <si>
    <t>Scenario 2 - Offshore removal</t>
  </si>
  <si>
    <t>Scenario 3 - Onshore removal</t>
  </si>
  <si>
    <t>Additional CO2 Emissions for Scenario 2 [te per annum]</t>
  </si>
  <si>
    <t>Scenario 1 - NTS Delivery at 4 mol%</t>
  </si>
  <si>
    <t>Quantities of CO2 removed [te 30 days per annum]</t>
  </si>
  <si>
    <t>Calculation of CO2 above 2.89 mol% delivered to NTS</t>
  </si>
  <si>
    <t>Additional CO2 for Scenario 1 [te 30 days per annum]</t>
  </si>
  <si>
    <t>Calculation of CO2 Removal to meet 2.89 mol% spec</t>
  </si>
  <si>
    <t>Amine Unit Operational Data &amp; Calcs</t>
  </si>
  <si>
    <t xml:space="preserve">Calculation of CO2 Emission from Fuel Gas Usage in Amine Unit </t>
  </si>
  <si>
    <t>Calculation of CO2 Emissions from Fuel Gas Usage for Amine Standby</t>
  </si>
  <si>
    <t>CO2 Formed from Amine Unit Fuel Gas [kg/hr]</t>
  </si>
  <si>
    <t>CO2 Formed from Amine Unit Fuel Gas [te (30 days)]</t>
  </si>
  <si>
    <t>Scenario 3 - Onshore CO2 Removal</t>
  </si>
  <si>
    <t>Additional CO2 emissions Scenario 3 [te per annum]</t>
  </si>
  <si>
    <t>Scenario 2 - Offshore CO2 Removal</t>
  </si>
  <si>
    <t>Summary of CO2 Impact Assessment &amp; Cost/Benefit (all values discounted at NVP10)</t>
  </si>
  <si>
    <t>Emissions</t>
  </si>
  <si>
    <r>
      <t>NTS Delivery at 4 mol %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</si>
  <si>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Offshore CO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Reduction</t>
    </r>
  </si>
  <si>
    <r>
      <t>Onshore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Reduction</t>
    </r>
  </si>
  <si>
    <r>
      <t>Total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Cost (Traded &amp; Price Support) </t>
    </r>
  </si>
  <si>
    <r>
      <t>Estimated Abatement Cost for additional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prior to NTS entry</t>
    </r>
  </si>
  <si>
    <t>Cost per tonne (Emissions Cost/Total Additional Emssions)*</t>
  </si>
  <si>
    <r>
      <rPr>
        <sz val="11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Includes capital costs for amine units</t>
    </r>
  </si>
  <si>
    <r>
      <t>Assessment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Impact from Teesside Gas
(2021-2032)</t>
    </r>
  </si>
  <si>
    <r>
      <t>Cost Assessment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from Teesside Gas
(2021-2032) (£ NVP10 1/1/15, Pre-tax basis)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</si>
</sst>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0.000"/>
    <numFmt numFmtId="165" formatCode="0.0"/>
    <numFmt numFmtId="166" formatCode="_-* #,##0_-;\-* #,##0_-;_-* &quot;-&quot;??_-;_-@_-"/>
    <numFmt numFmtId="167" formatCode="#,##0_ ;\-#,##0\ "/>
    <numFmt numFmtId="168" formatCode="&quot;£&quot;#,##0"/>
    <numFmt numFmtId="169" formatCode="0.0%"/>
    <numFmt numFmtId="170" formatCode="#,##0.000"/>
    <numFmt numFmtId="171" formatCode="&quot;£&quot;#,##0.00"/>
  </numFmts>
  <fonts count="1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9" fontId="0" fillId="0" borderId="0" xfId="2" applyFont="1"/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2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/>
    <xf numFmtId="0" fontId="2" fillId="5" borderId="7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4" borderId="10" xfId="0" applyFill="1" applyBorder="1"/>
    <xf numFmtId="0" fontId="6" fillId="4" borderId="11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166" fontId="0" fillId="5" borderId="0" xfId="3" applyNumberFormat="1" applyFon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left" vertical="center"/>
    </xf>
    <xf numFmtId="3" fontId="7" fillId="5" borderId="8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27" xfId="0" applyFont="1" applyBorder="1"/>
    <xf numFmtId="167" fontId="2" fillId="0" borderId="29" xfId="3" applyNumberFormat="1" applyFont="1" applyBorder="1" applyAlignment="1">
      <alignment horizontal="center" vertical="center"/>
    </xf>
    <xf numFmtId="0" fontId="0" fillId="0" borderId="29" xfId="0" applyBorder="1"/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167" fontId="2" fillId="5" borderId="27" xfId="3" applyNumberFormat="1" applyFont="1" applyFill="1" applyBorder="1" applyAlignment="1">
      <alignment horizontal="center" vertical="center"/>
    </xf>
    <xf numFmtId="167" fontId="2" fillId="5" borderId="27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167" fontId="2" fillId="5" borderId="28" xfId="0" applyNumberFormat="1" applyFont="1" applyFill="1" applyBorder="1" applyAlignment="1">
      <alignment horizontal="center" vertical="center"/>
    </xf>
    <xf numFmtId="167" fontId="3" fillId="5" borderId="28" xfId="3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/>
    <xf numFmtId="0" fontId="9" fillId="5" borderId="24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0" fillId="0" borderId="0" xfId="0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2" fillId="4" borderId="2" xfId="0" applyFont="1" applyFill="1" applyBorder="1"/>
    <xf numFmtId="0" fontId="2" fillId="4" borderId="5" xfId="0" applyFont="1" applyFill="1" applyBorder="1"/>
    <xf numFmtId="1" fontId="2" fillId="6" borderId="12" xfId="0" applyNumberFormat="1" applyFont="1" applyFill="1" applyBorder="1" applyAlignment="1">
      <alignment horizontal="center" vertical="center"/>
    </xf>
    <xf numFmtId="1" fontId="2" fillId="6" borderId="22" xfId="0" applyNumberFormat="1" applyFont="1" applyFill="1" applyBorder="1" applyAlignment="1">
      <alignment horizontal="center" vertical="center"/>
    </xf>
    <xf numFmtId="1" fontId="0" fillId="6" borderId="30" xfId="0" applyNumberFormat="1" applyFill="1" applyBorder="1" applyAlignment="1">
      <alignment horizontal="center" vertical="center"/>
    </xf>
    <xf numFmtId="1" fontId="0" fillId="6" borderId="24" xfId="0" applyNumberForma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" fontId="2" fillId="6" borderId="30" xfId="0" applyNumberFormat="1" applyFont="1" applyFill="1" applyBorder="1" applyAlignment="1">
      <alignment horizontal="center" vertical="center"/>
    </xf>
    <xf numFmtId="1" fontId="2" fillId="6" borderId="2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0" fillId="0" borderId="0" xfId="0"/>
    <xf numFmtId="0" fontId="2" fillId="4" borderId="13" xfId="0" applyFont="1" applyFill="1" applyBorder="1" applyAlignment="1">
      <alignment vertical="center"/>
    </xf>
    <xf numFmtId="0" fontId="2" fillId="5" borderId="5" xfId="0" applyFont="1" applyFill="1" applyBorder="1" applyAlignment="1"/>
    <xf numFmtId="0" fontId="2" fillId="5" borderId="7" xfId="0" applyFont="1" applyFill="1" applyBorder="1" applyAlignment="1">
      <alignment vertical="center"/>
    </xf>
    <xf numFmtId="0" fontId="2" fillId="4" borderId="14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7" fontId="2" fillId="5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 applyBorder="1"/>
    <xf numFmtId="0" fontId="2" fillId="4" borderId="2" xfId="0" applyFont="1" applyFill="1" applyBorder="1" applyAlignment="1"/>
    <xf numFmtId="0" fontId="2" fillId="5" borderId="14" xfId="0" applyFont="1" applyFill="1" applyBorder="1" applyAlignment="1"/>
    <xf numFmtId="168" fontId="2" fillId="4" borderId="15" xfId="0" applyNumberFormat="1" applyFont="1" applyFill="1" applyBorder="1" applyAlignment="1">
      <alignment horizontal="center" vertical="center" wrapText="1"/>
    </xf>
    <xf numFmtId="168" fontId="0" fillId="4" borderId="22" xfId="0" applyNumberFormat="1" applyFont="1" applyFill="1" applyBorder="1" applyAlignment="1">
      <alignment horizontal="center" vertical="center" wrapText="1"/>
    </xf>
    <xf numFmtId="168" fontId="0" fillId="5" borderId="23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16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0" fillId="0" borderId="0" xfId="0" applyNumberFormat="1"/>
    <xf numFmtId="167" fontId="2" fillId="0" borderId="27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Border="1" applyAlignment="1">
      <alignment vertical="center"/>
    </xf>
    <xf numFmtId="10" fontId="0" fillId="0" borderId="0" xfId="2" applyNumberFormat="1" applyFont="1"/>
    <xf numFmtId="169" fontId="0" fillId="5" borderId="0" xfId="2" applyNumberFormat="1" applyFont="1" applyFill="1" applyBorder="1" applyAlignment="1">
      <alignment horizontal="center" vertical="center"/>
    </xf>
    <xf numFmtId="1" fontId="0" fillId="5" borderId="0" xfId="3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0" borderId="0" xfId="0" applyFont="1" applyBorder="1"/>
    <xf numFmtId="0" fontId="0" fillId="5" borderId="0" xfId="0" applyFill="1" applyBorder="1" applyAlignment="1">
      <alignment vertical="center"/>
    </xf>
    <xf numFmtId="0" fontId="0" fillId="5" borderId="8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8" fontId="2" fillId="5" borderId="8" xfId="0" applyNumberFormat="1" applyFont="1" applyFill="1" applyBorder="1" applyAlignment="1">
      <alignment vertical="center"/>
    </xf>
    <xf numFmtId="8" fontId="2" fillId="5" borderId="0" xfId="0" applyNumberFormat="1" applyFont="1" applyFill="1" applyBorder="1" applyAlignment="1">
      <alignment vertical="center"/>
    </xf>
    <xf numFmtId="167" fontId="0" fillId="5" borderId="0" xfId="0" applyNumberFormat="1" applyFill="1" applyBorder="1" applyAlignment="1">
      <alignment vertical="center"/>
    </xf>
    <xf numFmtId="0" fontId="2" fillId="4" borderId="11" xfId="0" applyFont="1" applyFill="1" applyBorder="1" applyAlignment="1">
      <alignment horizontal="center"/>
    </xf>
    <xf numFmtId="0" fontId="0" fillId="5" borderId="0" xfId="2" applyNumberFormat="1" applyFont="1" applyFill="1" applyBorder="1" applyAlignment="1">
      <alignment horizontal="center" vertical="center"/>
    </xf>
    <xf numFmtId="0" fontId="0" fillId="0" borderId="1" xfId="0" applyFill="1" applyBorder="1"/>
    <xf numFmtId="170" fontId="0" fillId="0" borderId="1" xfId="0" applyNumberFormat="1" applyBorder="1" applyAlignment="1">
      <alignment horizontal="center"/>
    </xf>
    <xf numFmtId="6" fontId="2" fillId="5" borderId="8" xfId="0" applyNumberFormat="1" applyFont="1" applyFill="1" applyBorder="1" applyAlignment="1">
      <alignment vertical="center"/>
    </xf>
    <xf numFmtId="6" fontId="2" fillId="5" borderId="0" xfId="0" applyNumberFormat="1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vertical="center"/>
    </xf>
    <xf numFmtId="6" fontId="4" fillId="0" borderId="0" xfId="0" applyNumberFormat="1" applyFont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167" fontId="0" fillId="4" borderId="27" xfId="3" applyNumberFormat="1" applyFont="1" applyFill="1" applyBorder="1" applyAlignment="1">
      <alignment horizontal="center" vertical="center"/>
    </xf>
    <xf numFmtId="167" fontId="0" fillId="5" borderId="27" xfId="3" applyNumberFormat="1" applyFont="1" applyFill="1" applyBorder="1" applyAlignment="1">
      <alignment horizontal="center" vertical="center"/>
    </xf>
    <xf numFmtId="167" fontId="0" fillId="4" borderId="33" xfId="3" applyNumberFormat="1" applyFont="1" applyFill="1" applyBorder="1" applyAlignment="1">
      <alignment horizontal="center" vertical="center"/>
    </xf>
    <xf numFmtId="167" fontId="2" fillId="5" borderId="28" xfId="0" applyNumberFormat="1" applyFont="1" applyFill="1" applyBorder="1" applyAlignment="1">
      <alignment horizontal="center" vertical="center" wrapText="1"/>
    </xf>
    <xf numFmtId="167" fontId="0" fillId="4" borderId="25" xfId="3" applyNumberFormat="1" applyFont="1" applyFill="1" applyBorder="1" applyAlignment="1">
      <alignment horizontal="center" vertical="center"/>
    </xf>
    <xf numFmtId="167" fontId="0" fillId="5" borderId="25" xfId="3" applyNumberFormat="1" applyFont="1" applyFill="1" applyBorder="1" applyAlignment="1">
      <alignment horizontal="center" vertical="center"/>
    </xf>
    <xf numFmtId="167" fontId="0" fillId="4" borderId="19" xfId="3" applyNumberFormat="1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 wrapText="1"/>
    </xf>
    <xf numFmtId="166" fontId="3" fillId="5" borderId="0" xfId="1" applyNumberFormat="1" applyFont="1" applyFill="1" applyBorder="1" applyAlignment="1">
      <alignment horizontal="center" vertical="center"/>
    </xf>
    <xf numFmtId="166" fontId="2" fillId="5" borderId="27" xfId="1" applyNumberFormat="1" applyFont="1" applyFill="1" applyBorder="1" applyAlignment="1">
      <alignment horizontal="center" vertical="center"/>
    </xf>
    <xf numFmtId="166" fontId="2" fillId="5" borderId="27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6" fontId="2" fillId="0" borderId="27" xfId="1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166" fontId="2" fillId="5" borderId="8" xfId="1" applyNumberFormat="1" applyFont="1" applyFill="1" applyBorder="1" applyAlignment="1">
      <alignment horizontal="center" vertical="center"/>
    </xf>
    <xf numFmtId="166" fontId="2" fillId="5" borderId="28" xfId="1" applyNumberFormat="1" applyFont="1" applyFill="1" applyBorder="1" applyAlignment="1">
      <alignment horizontal="center" vertical="center"/>
    </xf>
    <xf numFmtId="166" fontId="2" fillId="5" borderId="28" xfId="0" applyNumberFormat="1" applyFont="1" applyFill="1" applyBorder="1" applyAlignment="1">
      <alignment horizontal="center" vertical="center"/>
    </xf>
    <xf numFmtId="166" fontId="2" fillId="5" borderId="27" xfId="3" applyNumberFormat="1" applyFont="1" applyFill="1" applyBorder="1" applyAlignment="1">
      <alignment horizontal="center" vertical="center"/>
    </xf>
    <xf numFmtId="166" fontId="0" fillId="0" borderId="0" xfId="3" applyNumberFormat="1" applyFont="1" applyBorder="1" applyAlignment="1">
      <alignment horizontal="center" vertical="center"/>
    </xf>
    <xf numFmtId="166" fontId="2" fillId="0" borderId="27" xfId="3" applyNumberFormat="1" applyFont="1" applyBorder="1" applyAlignment="1">
      <alignment horizontal="center" vertical="center"/>
    </xf>
    <xf numFmtId="166" fontId="2" fillId="5" borderId="8" xfId="3" applyNumberFormat="1" applyFont="1" applyFill="1" applyBorder="1" applyAlignment="1">
      <alignment horizontal="center" vertical="center"/>
    </xf>
    <xf numFmtId="166" fontId="2" fillId="5" borderId="28" xfId="3" applyNumberFormat="1" applyFont="1" applyFill="1" applyBorder="1" applyAlignment="1">
      <alignment horizontal="center" vertical="center"/>
    </xf>
    <xf numFmtId="6" fontId="0" fillId="5" borderId="0" xfId="0" applyNumberFormat="1" applyFont="1" applyFill="1" applyBorder="1" applyAlignment="1">
      <alignment vertical="center"/>
    </xf>
    <xf numFmtId="166" fontId="2" fillId="5" borderId="0" xfId="3" applyNumberFormat="1" applyFont="1" applyFill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center" vertical="center"/>
    </xf>
    <xf numFmtId="166" fontId="2" fillId="0" borderId="27" xfId="3" applyNumberFormat="1" applyFont="1" applyFill="1" applyBorder="1" applyAlignment="1">
      <alignment horizontal="center" vertical="center"/>
    </xf>
    <xf numFmtId="166" fontId="2" fillId="0" borderId="27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5" borderId="0" xfId="3" applyNumberFormat="1" applyFont="1" applyFill="1" applyBorder="1" applyAlignment="1">
      <alignment horizontal="right" vertical="center"/>
    </xf>
    <xf numFmtId="167" fontId="2" fillId="5" borderId="27" xfId="3" applyNumberFormat="1" applyFont="1" applyFill="1" applyBorder="1" applyAlignment="1">
      <alignment horizontal="right" vertical="center"/>
    </xf>
    <xf numFmtId="167" fontId="2" fillId="5" borderId="27" xfId="0" applyNumberFormat="1" applyFont="1" applyFill="1" applyBorder="1" applyAlignment="1">
      <alignment horizontal="right" vertical="center"/>
    </xf>
    <xf numFmtId="1" fontId="0" fillId="5" borderId="0" xfId="3" applyNumberFormat="1" applyFont="1" applyFill="1" applyBorder="1" applyAlignment="1">
      <alignment horizontal="right" vertical="center"/>
    </xf>
    <xf numFmtId="169" fontId="0" fillId="5" borderId="0" xfId="2" applyNumberFormat="1" applyFont="1" applyFill="1" applyBorder="1" applyAlignment="1">
      <alignment horizontal="right" vertical="center"/>
    </xf>
    <xf numFmtId="1" fontId="0" fillId="5" borderId="0" xfId="0" applyNumberFormat="1" applyFill="1" applyBorder="1" applyAlignment="1">
      <alignment horizontal="right"/>
    </xf>
    <xf numFmtId="0" fontId="2" fillId="5" borderId="27" xfId="0" applyFont="1" applyFill="1" applyBorder="1" applyAlignment="1">
      <alignment horizontal="right" vertical="center"/>
    </xf>
    <xf numFmtId="2" fontId="0" fillId="5" borderId="0" xfId="0" applyNumberFormat="1" applyFill="1" applyBorder="1" applyAlignment="1">
      <alignment horizontal="right" vertical="center"/>
    </xf>
    <xf numFmtId="3" fontId="7" fillId="5" borderId="8" xfId="0" applyNumberFormat="1" applyFont="1" applyFill="1" applyBorder="1" applyAlignment="1">
      <alignment horizontal="right"/>
    </xf>
    <xf numFmtId="167" fontId="3" fillId="5" borderId="28" xfId="3" applyNumberFormat="1" applyFont="1" applyFill="1" applyBorder="1" applyAlignment="1">
      <alignment horizontal="right" vertical="center"/>
    </xf>
    <xf numFmtId="167" fontId="2" fillId="5" borderId="28" xfId="0" applyNumberFormat="1" applyFont="1" applyFill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67" fontId="2" fillId="0" borderId="29" xfId="3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" fontId="0" fillId="5" borderId="0" xfId="0" applyNumberFormat="1" applyFill="1" applyBorder="1" applyAlignment="1">
      <alignment horizontal="right" vertical="center"/>
    </xf>
    <xf numFmtId="167" fontId="2" fillId="5" borderId="27" xfId="1" applyNumberFormat="1" applyFont="1" applyFill="1" applyBorder="1" applyAlignment="1">
      <alignment horizontal="right" vertical="center"/>
    </xf>
    <xf numFmtId="167" fontId="0" fillId="5" borderId="0" xfId="3" applyNumberFormat="1" applyFont="1" applyFill="1" applyBorder="1" applyAlignment="1">
      <alignment horizontal="right" vertical="center"/>
    </xf>
    <xf numFmtId="167" fontId="0" fillId="5" borderId="0" xfId="1" applyNumberFormat="1" applyFont="1" applyFill="1" applyBorder="1" applyAlignment="1">
      <alignment horizontal="right" vertical="center"/>
    </xf>
    <xf numFmtId="167" fontId="3" fillId="5" borderId="0" xfId="1" applyNumberFormat="1" applyFont="1" applyFill="1" applyBorder="1" applyAlignment="1">
      <alignment horizontal="right" vertical="center"/>
    </xf>
    <xf numFmtId="166" fontId="3" fillId="5" borderId="0" xfId="1" applyNumberFormat="1" applyFont="1" applyFill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66" fontId="2" fillId="0" borderId="27" xfId="1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7" fontId="0" fillId="0" borderId="0" xfId="3" applyNumberFormat="1" applyFont="1" applyBorder="1" applyAlignment="1">
      <alignment horizontal="right" vertical="center"/>
    </xf>
    <xf numFmtId="167" fontId="2" fillId="0" borderId="27" xfId="3" applyNumberFormat="1" applyFont="1" applyBorder="1" applyAlignment="1">
      <alignment horizontal="right" vertical="center"/>
    </xf>
    <xf numFmtId="166" fontId="0" fillId="0" borderId="0" xfId="3" applyNumberFormat="1" applyFont="1" applyBorder="1" applyAlignment="1">
      <alignment horizontal="right" vertical="center"/>
    </xf>
    <xf numFmtId="166" fontId="2" fillId="0" borderId="27" xfId="3" applyNumberFormat="1" applyFont="1" applyBorder="1" applyAlignment="1">
      <alignment horizontal="right" vertical="center"/>
    </xf>
    <xf numFmtId="166" fontId="2" fillId="5" borderId="8" xfId="3" applyNumberFormat="1" applyFont="1" applyFill="1" applyBorder="1" applyAlignment="1">
      <alignment horizontal="right" vertical="center"/>
    </xf>
    <xf numFmtId="167" fontId="2" fillId="5" borderId="28" xfId="1" applyNumberFormat="1" applyFont="1" applyFill="1" applyBorder="1" applyAlignment="1">
      <alignment horizontal="right" vertical="center"/>
    </xf>
    <xf numFmtId="167" fontId="0" fillId="0" borderId="0" xfId="3" applyNumberFormat="1" applyFont="1" applyFill="1" applyBorder="1" applyAlignment="1">
      <alignment horizontal="right" vertical="center"/>
    </xf>
    <xf numFmtId="166" fontId="2" fillId="5" borderId="27" xfId="1" applyNumberFormat="1" applyFont="1" applyFill="1" applyBorder="1" applyAlignment="1">
      <alignment horizontal="right" vertical="center"/>
    </xf>
    <xf numFmtId="166" fontId="2" fillId="5" borderId="27" xfId="0" applyNumberFormat="1" applyFont="1" applyFill="1" applyBorder="1" applyAlignment="1">
      <alignment horizontal="right" vertical="center"/>
    </xf>
    <xf numFmtId="166" fontId="2" fillId="5" borderId="0" xfId="3" applyNumberFormat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horizontal="right" vertical="center"/>
    </xf>
    <xf numFmtId="166" fontId="2" fillId="0" borderId="27" xfId="3" applyNumberFormat="1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/>
    </xf>
    <xf numFmtId="166" fontId="0" fillId="5" borderId="8" xfId="3" applyNumberFormat="1" applyFont="1" applyFill="1" applyBorder="1" applyAlignment="1">
      <alignment horizontal="right" vertical="center"/>
    </xf>
    <xf numFmtId="166" fontId="2" fillId="5" borderId="28" xfId="1" applyNumberFormat="1" applyFont="1" applyFill="1" applyBorder="1" applyAlignment="1">
      <alignment horizontal="right" vertical="center"/>
    </xf>
    <xf numFmtId="166" fontId="2" fillId="5" borderId="28" xfId="0" applyNumberFormat="1" applyFont="1" applyFill="1" applyBorder="1" applyAlignment="1">
      <alignment horizontal="right" vertical="center"/>
    </xf>
    <xf numFmtId="166" fontId="0" fillId="5" borderId="0" xfId="0" applyNumberFormat="1" applyFill="1" applyBorder="1" applyAlignment="1">
      <alignment vertical="center"/>
    </xf>
    <xf numFmtId="166" fontId="0" fillId="5" borderId="0" xfId="0" applyNumberFormat="1" applyFill="1" applyBorder="1" applyAlignment="1">
      <alignment horizontal="center" vertical="center"/>
    </xf>
    <xf numFmtId="166" fontId="0" fillId="5" borderId="0" xfId="1" applyNumberFormat="1" applyFont="1" applyFill="1" applyBorder="1" applyAlignment="1">
      <alignment horizontal="center" vertical="center"/>
    </xf>
    <xf numFmtId="166" fontId="3" fillId="5" borderId="8" xfId="3" applyNumberFormat="1" applyFont="1" applyFill="1" applyBorder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6" fontId="0" fillId="0" borderId="3" xfId="0" applyNumberFormat="1" applyBorder="1" applyAlignment="1">
      <alignment horizontal="center" vertical="center"/>
    </xf>
    <xf numFmtId="166" fontId="2" fillId="0" borderId="29" xfId="3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0" fillId="0" borderId="3" xfId="3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166" fontId="3" fillId="5" borderId="0" xfId="3" applyNumberFormat="1" applyFont="1" applyFill="1" applyBorder="1" applyAlignment="1">
      <alignment horizontal="center" vertical="center"/>
    </xf>
    <xf numFmtId="166" fontId="3" fillId="0" borderId="0" xfId="3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168" fontId="2" fillId="5" borderId="21" xfId="0" applyNumberFormat="1" applyFont="1" applyFill="1" applyBorder="1" applyAlignment="1">
      <alignment horizontal="center" vertical="center" wrapText="1"/>
    </xf>
    <xf numFmtId="168" fontId="2" fillId="5" borderId="2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/>
    <xf numFmtId="168" fontId="0" fillId="4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/>
    <xf numFmtId="168" fontId="0" fillId="5" borderId="16" xfId="0" applyNumberFormat="1" applyFont="1" applyFill="1" applyBorder="1" applyAlignment="1">
      <alignment horizontal="center" vertical="center" wrapText="1"/>
    </xf>
    <xf numFmtId="168" fontId="0" fillId="4" borderId="29" xfId="0" applyNumberFormat="1" applyFont="1" applyFill="1" applyBorder="1" applyAlignment="1">
      <alignment horizontal="center" vertical="center" wrapText="1"/>
    </xf>
    <xf numFmtId="168" fontId="0" fillId="5" borderId="33" xfId="0" applyNumberFormat="1" applyFont="1" applyFill="1" applyBorder="1" applyAlignment="1">
      <alignment horizontal="center" vertical="center" wrapText="1"/>
    </xf>
    <xf numFmtId="168" fontId="2" fillId="4" borderId="28" xfId="0" applyNumberFormat="1" applyFont="1" applyFill="1" applyBorder="1" applyAlignment="1">
      <alignment horizontal="center" vertical="center" wrapText="1"/>
    </xf>
    <xf numFmtId="168" fontId="2" fillId="5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/>
    <xf numFmtId="0" fontId="2" fillId="5" borderId="16" xfId="0" applyFont="1" applyFill="1" applyBorder="1" applyAlignment="1">
      <alignment horizontal="center"/>
    </xf>
    <xf numFmtId="168" fontId="2" fillId="5" borderId="16" xfId="0" applyNumberFormat="1" applyFont="1" applyFill="1" applyBorder="1" applyAlignment="1">
      <alignment horizontal="center"/>
    </xf>
    <xf numFmtId="0" fontId="2" fillId="0" borderId="16" xfId="0" applyFont="1" applyBorder="1"/>
    <xf numFmtId="168" fontId="2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0" fontId="0" fillId="0" borderId="34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4" xfId="0" applyBorder="1"/>
    <xf numFmtId="0" fontId="2" fillId="0" borderId="34" xfId="0" applyFont="1" applyBorder="1"/>
    <xf numFmtId="166" fontId="0" fillId="5" borderId="0" xfId="3" applyNumberFormat="1" applyFont="1" applyFill="1" applyBorder="1" applyAlignment="1">
      <alignment vertical="center"/>
    </xf>
    <xf numFmtId="0" fontId="13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3" xfId="0" applyBorder="1"/>
    <xf numFmtId="167" fontId="2" fillId="0" borderId="3" xfId="3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7" fontId="2" fillId="0" borderId="0" xfId="3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right" vertical="center"/>
    </xf>
    <xf numFmtId="171" fontId="0" fillId="0" borderId="0" xfId="0" applyNumberFormat="1"/>
    <xf numFmtId="0" fontId="14" fillId="0" borderId="0" xfId="4"/>
    <xf numFmtId="1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vertical="center"/>
    </xf>
  </cellXfs>
  <cellStyles count="5">
    <cellStyle name="Comma" xfId="1" builtinId="3"/>
    <cellStyle name="Comma 2" xfId="3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gov.uk/government/collections/carbon-valuation--2" TargetMode="External"/><Relationship Id="rId1" Type="http://schemas.openxmlformats.org/officeDocument/2006/relationships/hyperlink" Target="https://www.gov.uk/government/publications/valuation-of-energy-use-and-greenhouse-gas-emissions-for-apprais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showGridLines="0" tabSelected="1" topLeftCell="A7" workbookViewId="0">
      <selection activeCell="B4" sqref="B4:E9"/>
    </sheetView>
  </sheetViews>
  <sheetFormatPr defaultRowHeight="15" x14ac:dyDescent="0.25"/>
  <cols>
    <col min="2" max="2" width="57.140625" customWidth="1"/>
    <col min="3" max="3" width="14.7109375" customWidth="1"/>
    <col min="4" max="4" width="15" customWidth="1"/>
    <col min="5" max="5" width="15.5703125" customWidth="1"/>
    <col min="6" max="6" width="54.85546875" style="71" customWidth="1"/>
    <col min="7" max="7" width="19.140625" style="71" customWidth="1"/>
    <col min="8" max="8" width="15.5703125" style="71" customWidth="1"/>
    <col min="9" max="9" width="16.28515625" style="71" customWidth="1"/>
  </cols>
  <sheetData>
    <row r="1" spans="2:5" s="88" customFormat="1" x14ac:dyDescent="0.25"/>
    <row r="2" spans="2:5" x14ac:dyDescent="0.25">
      <c r="B2" s="94" t="s">
        <v>140</v>
      </c>
    </row>
    <row r="3" spans="2:5" ht="15.75" thickBot="1" x14ac:dyDescent="0.3"/>
    <row r="4" spans="2:5" x14ac:dyDescent="0.25">
      <c r="B4" s="246" t="s">
        <v>149</v>
      </c>
      <c r="C4" s="133" t="s">
        <v>113</v>
      </c>
      <c r="D4" s="100" t="s">
        <v>93</v>
      </c>
      <c r="E4" s="133" t="s">
        <v>94</v>
      </c>
    </row>
    <row r="5" spans="2:5" ht="32.25" customHeight="1" x14ac:dyDescent="0.25">
      <c r="B5" s="247"/>
      <c r="C5" s="134" t="s">
        <v>142</v>
      </c>
      <c r="D5" s="99" t="s">
        <v>143</v>
      </c>
      <c r="E5" s="134" t="s">
        <v>144</v>
      </c>
    </row>
    <row r="6" spans="2:5" ht="18" x14ac:dyDescent="0.25">
      <c r="B6" s="72" t="s">
        <v>56</v>
      </c>
      <c r="C6" s="135">
        <v>0</v>
      </c>
      <c r="D6" s="139">
        <f>+'CO2 Impact Assessment'!C27</f>
        <v>462881.182766515</v>
      </c>
      <c r="E6" s="135">
        <f>+'Full Cycle Cost Benefit'!C40</f>
        <v>38045.028720535469</v>
      </c>
    </row>
    <row r="7" spans="2:5" ht="18" x14ac:dyDescent="0.35">
      <c r="B7" s="73" t="s">
        <v>57</v>
      </c>
      <c r="C7" s="136">
        <v>0</v>
      </c>
      <c r="D7" s="140">
        <f>+'CO2 Impact Assessment'!C28</f>
        <v>213509.86081488291</v>
      </c>
      <c r="E7" s="136">
        <f>+'Full Cycle Cost Benefit'!C41+'Full Cycle Cost Benefit'!C42</f>
        <v>87496.755683415031</v>
      </c>
    </row>
    <row r="8" spans="2:5" ht="18" x14ac:dyDescent="0.35">
      <c r="B8" s="75" t="s">
        <v>59</v>
      </c>
      <c r="C8" s="137">
        <f>+'Scenario 1 - NTS Delivery'!P18</f>
        <v>38045.028720535469</v>
      </c>
      <c r="D8" s="141">
        <f>+'CO2 Impact Assessment'!D15</f>
        <v>0</v>
      </c>
      <c r="E8" s="142">
        <v>0</v>
      </c>
    </row>
    <row r="9" spans="2:5" ht="18.75" thickBot="1" x14ac:dyDescent="0.3">
      <c r="B9" s="74" t="s">
        <v>58</v>
      </c>
      <c r="C9" s="138">
        <f>SUM(C6:C8)</f>
        <v>38045.028720535469</v>
      </c>
      <c r="D9" s="78">
        <f>SUM(D6:D8)</f>
        <v>676391.04358139797</v>
      </c>
      <c r="E9" s="138">
        <f>SUM(E6:E8)</f>
        <v>125541.7844039505</v>
      </c>
    </row>
    <row r="10" spans="2:5" ht="18.75" customHeight="1" thickBot="1" x14ac:dyDescent="0.3">
      <c r="B10" s="76"/>
      <c r="C10" s="77"/>
      <c r="E10" s="77"/>
    </row>
    <row r="11" spans="2:5" s="88" customFormat="1" ht="16.5" customHeight="1" x14ac:dyDescent="0.25">
      <c r="B11" s="246" t="s">
        <v>150</v>
      </c>
      <c r="C11" s="133" t="s">
        <v>113</v>
      </c>
      <c r="D11" s="100" t="s">
        <v>93</v>
      </c>
      <c r="E11" s="133" t="s">
        <v>94</v>
      </c>
    </row>
    <row r="12" spans="2:5" s="88" customFormat="1" ht="33.75" customHeight="1" thickBot="1" x14ac:dyDescent="0.3">
      <c r="B12" s="247"/>
      <c r="C12" s="134" t="s">
        <v>142</v>
      </c>
      <c r="D12" s="99" t="s">
        <v>143</v>
      </c>
      <c r="E12" s="134" t="s">
        <v>144</v>
      </c>
    </row>
    <row r="13" spans="2:5" ht="18" x14ac:dyDescent="0.35">
      <c r="B13" s="81" t="s">
        <v>116</v>
      </c>
      <c r="C13" s="225">
        <f>+'Full Cycle Cost Benefit'!D17</f>
        <v>23415.666039856314</v>
      </c>
      <c r="D13" s="84">
        <f>+'Full Cycle Cost Benefit'!D33</f>
        <v>1601153.9808619337</v>
      </c>
      <c r="E13" s="84">
        <f>+'Full Cycle Cost Benefit'!D45</f>
        <v>299935.86744714907</v>
      </c>
    </row>
    <row r="14" spans="2:5" ht="18" x14ac:dyDescent="0.35">
      <c r="B14" s="82" t="s">
        <v>117</v>
      </c>
      <c r="C14" s="226">
        <f>+'Full Cycle Cost Benefit'!D18</f>
        <v>158001.05915967945</v>
      </c>
      <c r="D14" s="85"/>
      <c r="E14" s="85"/>
    </row>
    <row r="15" spans="2:5" ht="18.75" thickBot="1" x14ac:dyDescent="0.4">
      <c r="B15" s="86" t="s">
        <v>145</v>
      </c>
      <c r="C15" s="227">
        <f>+'Full Cycle Cost Benefit'!D19</f>
        <v>181416.72519953581</v>
      </c>
      <c r="D15" s="83">
        <f>+D14+D13</f>
        <v>1601153.9808619337</v>
      </c>
      <c r="E15" s="83">
        <f>+E14+E13</f>
        <v>299935.86744714907</v>
      </c>
    </row>
    <row r="16" spans="2:5" ht="3" customHeight="1" thickBot="1" x14ac:dyDescent="0.3">
      <c r="B16" s="79"/>
      <c r="C16" s="87"/>
      <c r="D16" s="87"/>
      <c r="E16" s="87"/>
    </row>
    <row r="17" spans="2:5" ht="17.25" customHeight="1" thickBot="1" x14ac:dyDescent="0.4">
      <c r="B17" s="223" t="s">
        <v>95</v>
      </c>
      <c r="C17" s="224">
        <f>+'CO2 Impact Assessment'!D20</f>
        <v>478415.75166348566</v>
      </c>
      <c r="D17" s="224">
        <v>0</v>
      </c>
      <c r="E17" s="224">
        <v>0</v>
      </c>
    </row>
    <row r="18" spans="2:5" s="88" customFormat="1" ht="3" customHeight="1" thickBot="1" x14ac:dyDescent="0.3"/>
    <row r="19" spans="2:5" s="88" customFormat="1" ht="15.75" thickBot="1" x14ac:dyDescent="0.3">
      <c r="B19" s="218" t="s">
        <v>118</v>
      </c>
      <c r="C19" s="228">
        <f>+C17+C15</f>
        <v>659832.4768630215</v>
      </c>
      <c r="D19" s="219">
        <f>+D17+D15</f>
        <v>1601153.9808619337</v>
      </c>
      <c r="E19" s="220">
        <f>+E17+E15</f>
        <v>299935.86744714907</v>
      </c>
    </row>
    <row r="20" spans="2:5" ht="12.75" customHeight="1" thickBot="1" x14ac:dyDescent="0.3"/>
    <row r="21" spans="2:5" ht="15.75" thickBot="1" x14ac:dyDescent="0.3">
      <c r="B21" s="221" t="s">
        <v>119</v>
      </c>
      <c r="C21" s="222"/>
      <c r="D21" s="222">
        <f>+'Full Cycle Cost Benefit'!D32</f>
        <v>106685572.78016387</v>
      </c>
      <c r="E21" s="222">
        <f>+'Full Cycle Cost Benefit'!D44</f>
        <v>121644131.92658898</v>
      </c>
    </row>
    <row r="22" spans="2:5" ht="5.25" customHeight="1" thickBot="1" x14ac:dyDescent="0.3">
      <c r="B22" s="88"/>
      <c r="C22" s="88"/>
      <c r="D22" s="88"/>
      <c r="E22" s="88"/>
    </row>
    <row r="23" spans="2:5" ht="18.75" thickBot="1" x14ac:dyDescent="0.4">
      <c r="B23" s="229" t="s">
        <v>146</v>
      </c>
      <c r="C23" s="230"/>
      <c r="D23" s="231">
        <f>+D21+D19</f>
        <v>108286726.7610258</v>
      </c>
      <c r="E23" s="231">
        <f>+E21+E19</f>
        <v>121944067.79403614</v>
      </c>
    </row>
    <row r="24" spans="2:5" ht="15.75" thickBot="1" x14ac:dyDescent="0.3"/>
    <row r="25" spans="2:5" ht="15.75" thickBot="1" x14ac:dyDescent="0.3">
      <c r="B25" s="232" t="s">
        <v>147</v>
      </c>
      <c r="C25" s="233">
        <f>+C19/C9</f>
        <v>17.343461131542409</v>
      </c>
      <c r="D25" s="233">
        <f>+D23/D9</f>
        <v>160.09485605791349</v>
      </c>
      <c r="E25" s="233">
        <f>+E23/E9</f>
        <v>971.3424767140624</v>
      </c>
    </row>
    <row r="26" spans="2:5" x14ac:dyDescent="0.25">
      <c r="B26" s="245" t="s">
        <v>148</v>
      </c>
    </row>
    <row r="28" spans="2:5" x14ac:dyDescent="0.25">
      <c r="E28" s="254">
        <f>+E23/C19</f>
        <v>184.81064826300027</v>
      </c>
    </row>
  </sheetData>
  <mergeCells count="2">
    <mergeCell ref="B4:B5"/>
    <mergeCell ref="B11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1"/>
  <sheetViews>
    <sheetView showGridLines="0" topLeftCell="J30" zoomScale="90" zoomScaleNormal="90" workbookViewId="0">
      <selection sqref="A1:Z42"/>
    </sheetView>
  </sheetViews>
  <sheetFormatPr defaultRowHeight="15" x14ac:dyDescent="0.25"/>
  <cols>
    <col min="1" max="1" width="61.140625" customWidth="1"/>
    <col min="2" max="2" width="3.5703125" style="80" customWidth="1"/>
    <col min="3" max="3" width="13.28515625" style="80" customWidth="1"/>
    <col min="4" max="4" width="13" style="88" customWidth="1"/>
    <col min="5" max="5" width="5.7109375" style="80" customWidth="1"/>
    <col min="6" max="11" width="8.7109375" style="80" customWidth="1"/>
    <col min="12" max="23" width="16.28515625" customWidth="1"/>
    <col min="24" max="24" width="15" customWidth="1"/>
    <col min="25" max="25" width="14" customWidth="1"/>
  </cols>
  <sheetData>
    <row r="1" spans="1:25" ht="18.75" x14ac:dyDescent="0.3">
      <c r="A1" s="7" t="s">
        <v>121</v>
      </c>
      <c r="B1" s="120"/>
      <c r="C1" s="120"/>
      <c r="D1" s="7"/>
      <c r="E1" s="120"/>
      <c r="F1" s="120"/>
      <c r="G1" s="120"/>
      <c r="H1" s="120"/>
      <c r="I1" s="120"/>
      <c r="J1" s="120"/>
      <c r="K1" s="12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 thickBot="1" x14ac:dyDescent="0.3">
      <c r="A2" s="8"/>
      <c r="B2" s="118"/>
      <c r="C2" s="118"/>
      <c r="D2" s="8"/>
      <c r="E2" s="118"/>
      <c r="F2" s="118"/>
      <c r="G2" s="118"/>
      <c r="H2" s="118"/>
      <c r="I2" s="118"/>
      <c r="J2" s="118"/>
      <c r="K2" s="1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8"/>
    </row>
    <row r="3" spans="1:25" ht="16.5" thickBot="1" x14ac:dyDescent="0.3">
      <c r="A3" s="18"/>
      <c r="C3" s="125" t="s">
        <v>112</v>
      </c>
      <c r="D3" s="125" t="s">
        <v>104</v>
      </c>
      <c r="F3" s="19">
        <v>2015</v>
      </c>
      <c r="G3" s="19">
        <f>+F3+1</f>
        <v>2016</v>
      </c>
      <c r="H3" s="19">
        <f t="shared" ref="H3:W3" si="0">+G3+1</f>
        <v>2017</v>
      </c>
      <c r="I3" s="19">
        <f t="shared" si="0"/>
        <v>2018</v>
      </c>
      <c r="J3" s="19">
        <f t="shared" si="0"/>
        <v>2019</v>
      </c>
      <c r="K3" s="19">
        <f t="shared" si="0"/>
        <v>2020</v>
      </c>
      <c r="L3" s="19">
        <f t="shared" si="0"/>
        <v>2021</v>
      </c>
      <c r="M3" s="19">
        <f t="shared" si="0"/>
        <v>2022</v>
      </c>
      <c r="N3" s="19">
        <f t="shared" si="0"/>
        <v>2023</v>
      </c>
      <c r="O3" s="19">
        <f t="shared" si="0"/>
        <v>2024</v>
      </c>
      <c r="P3" s="19">
        <f t="shared" si="0"/>
        <v>2025</v>
      </c>
      <c r="Q3" s="19">
        <f t="shared" si="0"/>
        <v>2026</v>
      </c>
      <c r="R3" s="19">
        <f t="shared" si="0"/>
        <v>2027</v>
      </c>
      <c r="S3" s="19">
        <f t="shared" si="0"/>
        <v>2028</v>
      </c>
      <c r="T3" s="19">
        <f t="shared" si="0"/>
        <v>2029</v>
      </c>
      <c r="U3" s="19">
        <f t="shared" si="0"/>
        <v>2030</v>
      </c>
      <c r="V3" s="19">
        <f t="shared" si="0"/>
        <v>2031</v>
      </c>
      <c r="W3" s="19">
        <f t="shared" si="0"/>
        <v>2032</v>
      </c>
      <c r="X3" s="33" t="s">
        <v>37</v>
      </c>
      <c r="Y3" s="33" t="s">
        <v>38</v>
      </c>
    </row>
    <row r="4" spans="1:25" x14ac:dyDescent="0.25">
      <c r="A4" s="15" t="s">
        <v>39</v>
      </c>
      <c r="B4" s="117"/>
      <c r="C4" s="117"/>
      <c r="D4" s="110"/>
      <c r="E4" s="117"/>
      <c r="F4" s="117"/>
      <c r="G4" s="117"/>
      <c r="H4" s="117"/>
      <c r="I4" s="117"/>
      <c r="J4" s="117"/>
      <c r="K4" s="11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8"/>
      <c r="Y4" s="30"/>
    </row>
    <row r="5" spans="1:25" s="88" customFormat="1" x14ac:dyDescent="0.25">
      <c r="A5" s="20" t="s">
        <v>101</v>
      </c>
      <c r="B5" s="118"/>
      <c r="C5" s="111"/>
      <c r="D5" s="111"/>
      <c r="E5" s="118"/>
      <c r="F5" s="111"/>
      <c r="G5" s="111"/>
      <c r="H5" s="111"/>
      <c r="I5" s="111"/>
      <c r="J5" s="111"/>
      <c r="K5" s="111"/>
      <c r="L5" s="108">
        <v>30</v>
      </c>
      <c r="M5" s="108">
        <v>30</v>
      </c>
      <c r="N5" s="108">
        <v>30</v>
      </c>
      <c r="O5" s="108">
        <v>30</v>
      </c>
      <c r="P5" s="108">
        <v>30</v>
      </c>
      <c r="Q5" s="108">
        <v>30</v>
      </c>
      <c r="R5" s="108">
        <v>30</v>
      </c>
      <c r="S5" s="108">
        <v>30</v>
      </c>
      <c r="T5" s="108">
        <v>30</v>
      </c>
      <c r="U5" s="108">
        <v>30</v>
      </c>
      <c r="V5" s="108">
        <v>30</v>
      </c>
      <c r="W5" s="108">
        <v>30</v>
      </c>
      <c r="X5" s="34"/>
      <c r="Y5" s="35"/>
    </row>
    <row r="6" spans="1:25" s="88" customFormat="1" x14ac:dyDescent="0.25">
      <c r="A6" s="20" t="s">
        <v>102</v>
      </c>
      <c r="B6" s="118"/>
      <c r="C6" s="111"/>
      <c r="D6" s="111"/>
      <c r="E6" s="118"/>
      <c r="F6" s="111"/>
      <c r="G6" s="111"/>
      <c r="H6" s="111"/>
      <c r="I6" s="111"/>
      <c r="J6" s="111"/>
      <c r="K6" s="111"/>
      <c r="L6" s="107">
        <v>0.04</v>
      </c>
      <c r="M6" s="107">
        <v>0.04</v>
      </c>
      <c r="N6" s="107">
        <v>0.04</v>
      </c>
      <c r="O6" s="107">
        <v>0.04</v>
      </c>
      <c r="P6" s="107">
        <v>0.04</v>
      </c>
      <c r="Q6" s="107">
        <v>3.7999999999999999E-2</v>
      </c>
      <c r="R6" s="107">
        <v>3.5999999999999997E-2</v>
      </c>
      <c r="S6" s="107">
        <v>3.3984330085412497E-2</v>
      </c>
      <c r="T6" s="107">
        <v>3.3984330085412497E-2</v>
      </c>
      <c r="U6" s="107">
        <v>3.2000000000000001E-2</v>
      </c>
      <c r="V6" s="107">
        <v>3.2000000000000001E-2</v>
      </c>
      <c r="W6" s="107">
        <v>3.2000000000000001E-2</v>
      </c>
      <c r="X6" s="34"/>
      <c r="Y6" s="35"/>
    </row>
    <row r="7" spans="1:25" s="88" customFormat="1" x14ac:dyDescent="0.25">
      <c r="A7" s="20" t="s">
        <v>106</v>
      </c>
      <c r="B7" s="118"/>
      <c r="C7" s="111"/>
      <c r="D7" s="111"/>
      <c r="E7" s="118"/>
      <c r="F7" s="111"/>
      <c r="G7" s="111"/>
      <c r="H7" s="111"/>
      <c r="I7" s="111"/>
      <c r="J7" s="111"/>
      <c r="K7" s="111"/>
      <c r="L7" s="126">
        <v>718.51</v>
      </c>
      <c r="M7" s="126">
        <v>718.51</v>
      </c>
      <c r="N7" s="126">
        <v>718.51</v>
      </c>
      <c r="O7" s="126">
        <v>718.51</v>
      </c>
      <c r="P7" s="126">
        <v>718.51</v>
      </c>
      <c r="Q7" s="126">
        <v>718.51</v>
      </c>
      <c r="R7" s="126">
        <v>718.51</v>
      </c>
      <c r="S7" s="126">
        <v>718.51</v>
      </c>
      <c r="T7" s="126">
        <v>718.51</v>
      </c>
      <c r="U7" s="126">
        <v>718.51</v>
      </c>
      <c r="V7" s="126">
        <v>718.51</v>
      </c>
      <c r="W7" s="126">
        <v>718.51</v>
      </c>
      <c r="X7" s="34"/>
      <c r="Y7" s="35"/>
    </row>
    <row r="8" spans="1:25" x14ac:dyDescent="0.25">
      <c r="A8" s="20" t="s">
        <v>42</v>
      </c>
      <c r="B8" s="118"/>
      <c r="C8" s="111"/>
      <c r="D8" s="111"/>
      <c r="E8" s="118"/>
      <c r="F8" s="257">
        <v>4.5577460053854049</v>
      </c>
      <c r="G8" s="257">
        <v>4.6615738633985471</v>
      </c>
      <c r="H8" s="257">
        <v>4.7776979675016369</v>
      </c>
      <c r="I8" s="257">
        <v>4.9650586721095449</v>
      </c>
      <c r="J8" s="257">
        <v>5.1567159605183175</v>
      </c>
      <c r="K8" s="257">
        <v>5.3484529531794696</v>
      </c>
      <c r="L8" s="256">
        <v>5.5473191099513084</v>
      </c>
      <c r="M8" s="256">
        <v>5.753579507385898</v>
      </c>
      <c r="N8" s="256">
        <v>5.967509078110619</v>
      </c>
      <c r="O8" s="256">
        <v>6.1893929772967269</v>
      </c>
      <c r="P8" s="256">
        <v>6.4195269627539444</v>
      </c>
      <c r="Q8" s="256">
        <v>6.6582177891577112</v>
      </c>
      <c r="R8" s="256">
        <v>6.9057836169346114</v>
      </c>
      <c r="S8" s="256">
        <v>7.162554436350967</v>
      </c>
      <c r="T8" s="256">
        <v>7.4288725073698867</v>
      </c>
      <c r="U8" s="256">
        <v>7.705092815863094</v>
      </c>
      <c r="V8" s="256">
        <v>13.497771041539972</v>
      </c>
      <c r="W8" s="22">
        <v>22.502011396341821</v>
      </c>
      <c r="X8" s="34"/>
      <c r="Y8" s="36"/>
    </row>
    <row r="9" spans="1:25" x14ac:dyDescent="0.25">
      <c r="A9" s="20" t="s">
        <v>43</v>
      </c>
      <c r="B9" s="118"/>
      <c r="C9" s="111"/>
      <c r="D9" s="111"/>
      <c r="E9" s="118"/>
      <c r="F9" s="257">
        <v>20.254104273101937</v>
      </c>
      <c r="G9" s="257">
        <v>22.084187294087098</v>
      </c>
      <c r="H9" s="257">
        <v>21.856477611120489</v>
      </c>
      <c r="I9" s="257">
        <v>21.708960283500577</v>
      </c>
      <c r="J9" s="257">
        <v>21.562599477010359</v>
      </c>
      <c r="K9" s="257">
        <v>27.258773729879763</v>
      </c>
      <c r="L9" s="22">
        <v>32.954947982749168</v>
      </c>
      <c r="M9" s="22">
        <v>38.651122235618566</v>
      </c>
      <c r="N9" s="22">
        <v>44.347296488487977</v>
      </c>
      <c r="O9" s="22">
        <v>50.043470741357382</v>
      </c>
      <c r="P9" s="22">
        <v>55.739644994226779</v>
      </c>
      <c r="Q9" s="22">
        <v>60.198816593764931</v>
      </c>
      <c r="R9" s="22">
        <v>64.657988193303055</v>
      </c>
      <c r="S9" s="22">
        <v>69.117159792841207</v>
      </c>
      <c r="T9" s="22">
        <v>73.576331392379345</v>
      </c>
      <c r="U9" s="22">
        <v>78.035502991917511</v>
      </c>
      <c r="V9" s="22">
        <v>85.736746294827611</v>
      </c>
      <c r="W9" s="22">
        <v>93.021567875433874</v>
      </c>
      <c r="X9" s="34"/>
      <c r="Y9" s="36"/>
    </row>
    <row r="10" spans="1:25" x14ac:dyDescent="0.25">
      <c r="A10" s="20" t="s">
        <v>44</v>
      </c>
      <c r="B10" s="118"/>
      <c r="C10" s="111"/>
      <c r="D10" s="111"/>
      <c r="E10" s="118"/>
      <c r="F10" s="257">
        <v>61.793198917128741</v>
      </c>
      <c r="G10" s="257">
        <v>62.720096900885672</v>
      </c>
      <c r="H10" s="257">
        <v>63.660898354398945</v>
      </c>
      <c r="I10" s="257">
        <v>64.615811829714929</v>
      </c>
      <c r="J10" s="257">
        <v>65.585049007160634</v>
      </c>
      <c r="K10" s="257">
        <v>66.568824742268035</v>
      </c>
      <c r="L10" s="22">
        <v>67.678305154639176</v>
      </c>
      <c r="M10" s="22">
        <v>68.787785567010303</v>
      </c>
      <c r="N10" s="22">
        <v>69.897265979381444</v>
      </c>
      <c r="O10" s="22">
        <v>71.006746391752571</v>
      </c>
      <c r="P10" s="22">
        <v>72.116226804123698</v>
      </c>
      <c r="Q10" s="22">
        <v>73.22570721649484</v>
      </c>
      <c r="R10" s="22">
        <v>74.335187628865967</v>
      </c>
      <c r="S10" s="22">
        <v>75.444668041237108</v>
      </c>
      <c r="T10" s="22">
        <v>76.554148453608235</v>
      </c>
      <c r="U10" s="22">
        <v>77.663628865979376</v>
      </c>
      <c r="V10" s="22">
        <v>84.875251546391752</v>
      </c>
      <c r="W10" s="22">
        <v>92.086874226804113</v>
      </c>
      <c r="X10" s="34"/>
      <c r="Y10" s="36"/>
    </row>
    <row r="11" spans="1:25" x14ac:dyDescent="0.25">
      <c r="A11" s="20" t="s">
        <v>45</v>
      </c>
      <c r="B11" s="118"/>
      <c r="C11" s="111"/>
      <c r="D11" s="111"/>
      <c r="E11" s="118"/>
      <c r="F11" s="111"/>
      <c r="G11" s="111"/>
      <c r="H11" s="111"/>
      <c r="I11" s="111"/>
      <c r="J11" s="111"/>
      <c r="K11" s="111"/>
      <c r="L11" s="23">
        <v>57.997133120780859</v>
      </c>
      <c r="M11" s="23">
        <v>60.285499828812988</v>
      </c>
      <c r="N11" s="23">
        <v>62.573866536845109</v>
      </c>
      <c r="O11" s="23">
        <v>64.862233244877245</v>
      </c>
      <c r="P11" s="23">
        <v>67.150599952909374</v>
      </c>
      <c r="Q11" s="23">
        <v>69.438966660941475</v>
      </c>
      <c r="R11" s="23">
        <v>71.727333368973603</v>
      </c>
      <c r="S11" s="23">
        <v>72.541732990620346</v>
      </c>
      <c r="T11" s="23">
        <v>73.352283163269945</v>
      </c>
      <c r="U11" s="23">
        <v>74.104253654912839</v>
      </c>
      <c r="V11" s="23">
        <v>75.10722665854999</v>
      </c>
      <c r="W11" s="23">
        <v>76.370020007748707</v>
      </c>
      <c r="X11" s="34"/>
      <c r="Y11" s="35">
        <v>72.236879512124077</v>
      </c>
    </row>
    <row r="12" spans="1:25" ht="15.75" thickBot="1" x14ac:dyDescent="0.3">
      <c r="A12" s="24" t="s">
        <v>46</v>
      </c>
      <c r="B12" s="121"/>
      <c r="C12" s="112"/>
      <c r="D12" s="112"/>
      <c r="E12" s="121"/>
      <c r="F12" s="112"/>
      <c r="G12" s="112"/>
      <c r="H12" s="112"/>
      <c r="I12" s="112"/>
      <c r="J12" s="112"/>
      <c r="K12" s="112"/>
      <c r="L12" s="25">
        <v>369.87665831211638</v>
      </c>
      <c r="M12" s="25">
        <v>349.25797723299269</v>
      </c>
      <c r="N12" s="25">
        <v>339.22028172228312</v>
      </c>
      <c r="O12" s="25">
        <v>328.81506159159034</v>
      </c>
      <c r="P12" s="25">
        <v>323.63296671385393</v>
      </c>
      <c r="Q12" s="25">
        <v>317.27638981615746</v>
      </c>
      <c r="R12" s="25">
        <v>305.90842300173756</v>
      </c>
      <c r="S12" s="25">
        <v>299.99197150009633</v>
      </c>
      <c r="T12" s="25">
        <v>296.37501109881981</v>
      </c>
      <c r="U12" s="25">
        <v>291.94408577581271</v>
      </c>
      <c r="V12" s="25">
        <v>296.24717661169205</v>
      </c>
      <c r="W12" s="25">
        <v>292.56197925795175</v>
      </c>
      <c r="X12" s="38">
        <v>6608.916470883727</v>
      </c>
      <c r="Y12" s="37">
        <v>300.40529413107851</v>
      </c>
    </row>
    <row r="13" spans="1:25" x14ac:dyDescent="0.25">
      <c r="A13" s="14"/>
      <c r="B13" s="118"/>
      <c r="C13" s="113"/>
      <c r="D13" s="113"/>
      <c r="E13" s="118"/>
      <c r="F13" s="118"/>
      <c r="G13" s="118"/>
      <c r="H13" s="118"/>
      <c r="I13" s="118"/>
      <c r="J13" s="118"/>
      <c r="K13" s="11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6"/>
      <c r="X13" s="29"/>
      <c r="Y13" s="31"/>
    </row>
    <row r="14" spans="1:25" x14ac:dyDescent="0.25">
      <c r="A14" s="13" t="s">
        <v>123</v>
      </c>
      <c r="B14" s="116"/>
      <c r="C14" s="115"/>
      <c r="D14" s="115"/>
      <c r="E14" s="116"/>
      <c r="F14" s="214"/>
      <c r="G14" s="214"/>
      <c r="H14" s="214"/>
      <c r="I14" s="214"/>
      <c r="J14" s="214"/>
      <c r="K14" s="214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  <c r="Y14" s="148"/>
    </row>
    <row r="15" spans="1:25" x14ac:dyDescent="0.25">
      <c r="A15" s="20" t="s">
        <v>51</v>
      </c>
      <c r="B15" s="118"/>
      <c r="C15" s="124">
        <f>SUM(L15:W15)</f>
        <v>38045.028720535469</v>
      </c>
      <c r="D15" s="124"/>
      <c r="E15" s="118"/>
      <c r="F15" s="21"/>
      <c r="G15" s="21"/>
      <c r="H15" s="21"/>
      <c r="I15" s="21"/>
      <c r="J15" s="21"/>
      <c r="K15" s="21"/>
      <c r="L15" s="21">
        <f>+'Scenario 1 - NTS Delivery'!C18</f>
        <v>2674.9437053318129</v>
      </c>
      <c r="M15" s="21">
        <f>+'Scenario 1 - NTS Delivery'!D18</f>
        <v>4547.4253226790797</v>
      </c>
      <c r="N15" s="21">
        <f>+'Scenario 1 - NTS Delivery'!E18</f>
        <v>4636.6463363485746</v>
      </c>
      <c r="O15" s="21">
        <f>+'Scenario 1 - NTS Delivery'!F18</f>
        <v>4636.6463363485746</v>
      </c>
      <c r="P15" s="21">
        <f>+'Scenario 1 - NTS Delivery'!G18</f>
        <v>4636.6463363485746</v>
      </c>
      <c r="Q15" s="21">
        <f>+'Scenario 1 - NTS Delivery'!H18</f>
        <v>4042.5400455306622</v>
      </c>
      <c r="R15" s="21">
        <f>+'Scenario 1 - NTS Delivery'!I18</f>
        <v>3120.7747389392098</v>
      </c>
      <c r="S15" s="21">
        <f>+'Scenario 1 - NTS Delivery'!J18</f>
        <v>2585.9886549063267</v>
      </c>
      <c r="T15" s="21">
        <f>+'Scenario 1 - NTS Delivery'!K18</f>
        <v>2199.5325446976171</v>
      </c>
      <c r="U15" s="21">
        <f>+'Scenario 1 - NTS Delivery'!L18</f>
        <v>1872.5394484023511</v>
      </c>
      <c r="V15" s="21">
        <f>+'Scenario 1 - NTS Delivery'!M18</f>
        <v>1634.8209054517729</v>
      </c>
      <c r="W15" s="21">
        <f>+'Scenario 1 - NTS Delivery'!N18</f>
        <v>1456.5243455509146</v>
      </c>
      <c r="X15" s="152">
        <f>SUM(L15:W15)</f>
        <v>38045.028720535469</v>
      </c>
      <c r="Y15" s="145">
        <f>+X15/+COUNT(L$3:W$3)</f>
        <v>3170.4190600446223</v>
      </c>
    </row>
    <row r="16" spans="1:25" x14ac:dyDescent="0.25">
      <c r="A16" s="20" t="s">
        <v>52</v>
      </c>
      <c r="B16" s="118"/>
      <c r="C16" s="130"/>
      <c r="D16" s="130">
        <f>NPV(0.1,F16:W16)</f>
        <v>23415.666039856314</v>
      </c>
      <c r="E16" s="118"/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">
        <f t="shared" ref="L16:W16" si="1">+L15*0.26*L8</f>
        <v>3858.0792470040933</v>
      </c>
      <c r="M16" s="21">
        <f t="shared" si="1"/>
        <v>6802.633018462855</v>
      </c>
      <c r="N16" s="21">
        <f t="shared" si="1"/>
        <v>7193.9995670786002</v>
      </c>
      <c r="O16" s="21">
        <f t="shared" si="1"/>
        <v>7461.4868308251607</v>
      </c>
      <c r="P16" s="21">
        <f t="shared" si="1"/>
        <v>7738.9198049654324</v>
      </c>
      <c r="Q16" s="21">
        <f t="shared" si="1"/>
        <v>6998.1891315790162</v>
      </c>
      <c r="R16" s="21">
        <f t="shared" si="1"/>
        <v>5603.3627167205441</v>
      </c>
      <c r="S16" s="21">
        <f t="shared" si="1"/>
        <v>4815.7939732636705</v>
      </c>
      <c r="T16" s="21">
        <f t="shared" si="1"/>
        <v>4248.4121810960578</v>
      </c>
      <c r="U16" s="21">
        <f t="shared" si="1"/>
        <v>3751.3034653393511</v>
      </c>
      <c r="V16" s="21">
        <f t="shared" si="1"/>
        <v>5737.2739516848851</v>
      </c>
      <c r="W16" s="21">
        <f t="shared" si="1"/>
        <v>8521.4291298853586</v>
      </c>
      <c r="X16" s="152">
        <f>SUM(L16:W16)</f>
        <v>72730.883017905027</v>
      </c>
      <c r="Y16" s="145">
        <f>+X16/+COUNT(L$3:W$3)</f>
        <v>6060.906918158752</v>
      </c>
    </row>
    <row r="17" spans="1:26" x14ac:dyDescent="0.25">
      <c r="A17" s="20" t="s">
        <v>53</v>
      </c>
      <c r="B17" s="118"/>
      <c r="C17" s="130"/>
      <c r="D17" s="130">
        <f>NPV(0.1,F17:W17)</f>
        <v>168042.40344703363</v>
      </c>
      <c r="E17" s="118"/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">
        <f t="shared" ref="L17:W17" si="2">+L15*0.24*L9</f>
        <v>21156.631359838131</v>
      </c>
      <c r="M17" s="21">
        <f t="shared" si="2"/>
        <v>42183.142081011916</v>
      </c>
      <c r="N17" s="21">
        <f t="shared" si="2"/>
        <v>49349.455149674824</v>
      </c>
      <c r="O17" s="21">
        <f t="shared" si="2"/>
        <v>55688.130065059631</v>
      </c>
      <c r="P17" s="21">
        <f t="shared" si="2"/>
        <v>62026.804980444424</v>
      </c>
      <c r="Q17" s="21">
        <f t="shared" si="2"/>
        <v>58405.47042572411</v>
      </c>
      <c r="R17" s="21">
        <f t="shared" si="2"/>
        <v>48427.92389382956</v>
      </c>
      <c r="S17" s="21">
        <f t="shared" si="2"/>
        <v>42896.685860072415</v>
      </c>
      <c r="T17" s="21">
        <f t="shared" si="2"/>
        <v>38840.048500078876</v>
      </c>
      <c r="U17" s="21">
        <f t="shared" si="2"/>
        <v>35069.893854788454</v>
      </c>
      <c r="V17" s="21">
        <f t="shared" si="2"/>
        <v>33639.41404996776</v>
      </c>
      <c r="W17" s="21">
        <f t="shared" si="2"/>
        <v>32517.162785252713</v>
      </c>
      <c r="X17" s="152">
        <f>SUM(L17:W17)</f>
        <v>520200.76300574292</v>
      </c>
      <c r="Y17" s="145">
        <f>+X17/+COUNT(L$3:W$3)</f>
        <v>43350.063583811912</v>
      </c>
    </row>
    <row r="18" spans="1:26" s="88" customFormat="1" x14ac:dyDescent="0.25">
      <c r="A18" s="109" t="s">
        <v>111</v>
      </c>
      <c r="B18" s="116"/>
      <c r="C18" s="130"/>
      <c r="D18" s="130">
        <f>NPV(0.1,F18:W18)</f>
        <v>191458.06948689002</v>
      </c>
      <c r="E18" s="116"/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158">
        <f>+L17+L16</f>
        <v>25014.710606842225</v>
      </c>
      <c r="M18" s="158">
        <f t="shared" ref="M18:W18" si="3">+M17+M16</f>
        <v>48985.775099474769</v>
      </c>
      <c r="N18" s="158">
        <f t="shared" si="3"/>
        <v>56543.454716753426</v>
      </c>
      <c r="O18" s="158">
        <f t="shared" si="3"/>
        <v>63149.616895884792</v>
      </c>
      <c r="P18" s="158">
        <f t="shared" si="3"/>
        <v>69765.724785409853</v>
      </c>
      <c r="Q18" s="158">
        <f t="shared" si="3"/>
        <v>65403.659557303123</v>
      </c>
      <c r="R18" s="158">
        <f t="shared" si="3"/>
        <v>54031.286610550102</v>
      </c>
      <c r="S18" s="158">
        <f t="shared" si="3"/>
        <v>47712.479833336089</v>
      </c>
      <c r="T18" s="158">
        <f t="shared" si="3"/>
        <v>43088.460681174933</v>
      </c>
      <c r="U18" s="158">
        <f t="shared" si="3"/>
        <v>38821.197320127802</v>
      </c>
      <c r="V18" s="158">
        <f t="shared" si="3"/>
        <v>39376.688001652641</v>
      </c>
      <c r="W18" s="158">
        <f t="shared" si="3"/>
        <v>41038.591915138073</v>
      </c>
      <c r="X18" s="152">
        <f>SUM(L18:W18)</f>
        <v>592931.64602364774</v>
      </c>
      <c r="Y18" s="145">
        <f>+X18/+COUNT(L$3:W$3)</f>
        <v>49410.970501970645</v>
      </c>
    </row>
    <row r="19" spans="1:26" s="40" customFormat="1" x14ac:dyDescent="0.25">
      <c r="A19" s="39"/>
      <c r="B19" s="116"/>
      <c r="C19" s="131"/>
      <c r="D19" s="131"/>
      <c r="E19" s="116"/>
      <c r="F19" s="216"/>
      <c r="G19" s="216"/>
      <c r="H19" s="216"/>
      <c r="I19" s="216"/>
      <c r="J19" s="216"/>
      <c r="K19" s="216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60"/>
      <c r="Y19" s="161"/>
    </row>
    <row r="20" spans="1:26" x14ac:dyDescent="0.25">
      <c r="A20" s="20" t="s">
        <v>54</v>
      </c>
      <c r="B20" s="118"/>
      <c r="C20" s="130"/>
      <c r="D20" s="130">
        <f>NPV(0.1,F20:W20)</f>
        <v>478415.75166348566</v>
      </c>
      <c r="E20" s="118"/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">
        <f t="shared" ref="L20:W20" si="4">+L15*0.5*L10</f>
        <v>90517.828180463825</v>
      </c>
      <c r="M20" s="21">
        <f t="shared" si="4"/>
        <v>156403.6589892206</v>
      </c>
      <c r="N20" s="21">
        <f t="shared" si="4"/>
        <v>162044.45111204041</v>
      </c>
      <c r="O20" s="21">
        <f t="shared" si="4"/>
        <v>164616.58525667596</v>
      </c>
      <c r="P20" s="21">
        <f t="shared" si="4"/>
        <v>167188.71940131151</v>
      </c>
      <c r="Q20" s="21">
        <f t="shared" si="4"/>
        <v>148008.92689249199</v>
      </c>
      <c r="R20" s="21">
        <f t="shared" si="4"/>
        <v>115991.68788323569</v>
      </c>
      <c r="S20" s="21">
        <f t="shared" si="4"/>
        <v>97549.527813906549</v>
      </c>
      <c r="T20" s="21">
        <f t="shared" si="4"/>
        <v>84191.670477662032</v>
      </c>
      <c r="U20" s="21">
        <f t="shared" si="4"/>
        <v>72714.104378812961</v>
      </c>
      <c r="V20" s="21">
        <f t="shared" si="4"/>
        <v>69377.917791759581</v>
      </c>
      <c r="W20" s="21">
        <f t="shared" si="4"/>
        <v>67063.38710851263</v>
      </c>
      <c r="X20" s="152">
        <f>SUM(L20:W20)</f>
        <v>1395668.4652860938</v>
      </c>
      <c r="Y20" s="145">
        <f>+X20/+COUNT(L$3:W$3)</f>
        <v>116305.70544050781</v>
      </c>
    </row>
    <row r="21" spans="1:26" x14ac:dyDescent="0.25">
      <c r="A21" s="17"/>
      <c r="B21" s="119"/>
      <c r="C21" s="132"/>
      <c r="D21" s="132"/>
      <c r="E21" s="119"/>
      <c r="F21" s="217"/>
      <c r="G21" s="217"/>
      <c r="H21" s="217"/>
      <c r="I21" s="217"/>
      <c r="J21" s="217"/>
      <c r="K21" s="217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54"/>
      <c r="Y21" s="148"/>
    </row>
    <row r="22" spans="1:26" ht="15.75" thickBot="1" x14ac:dyDescent="0.3">
      <c r="A22" s="16" t="s">
        <v>55</v>
      </c>
      <c r="B22" s="116"/>
      <c r="C22" s="129"/>
      <c r="D22" s="129">
        <f>NPV(0.1,F22:W22)</f>
        <v>669873.82115037541</v>
      </c>
      <c r="E22" s="116"/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155">
        <f>+L20+L18</f>
        <v>115532.53878730605</v>
      </c>
      <c r="M22" s="155">
        <f t="shared" ref="M22:W22" si="5">+M20+M18</f>
        <v>205389.43408869536</v>
      </c>
      <c r="N22" s="155">
        <f t="shared" si="5"/>
        <v>218587.90582879382</v>
      </c>
      <c r="O22" s="155">
        <f t="shared" si="5"/>
        <v>227766.20215256076</v>
      </c>
      <c r="P22" s="155">
        <f t="shared" si="5"/>
        <v>236954.44418672135</v>
      </c>
      <c r="Q22" s="155">
        <f t="shared" si="5"/>
        <v>213412.58644979511</v>
      </c>
      <c r="R22" s="155">
        <f t="shared" si="5"/>
        <v>170022.97449378579</v>
      </c>
      <c r="S22" s="155">
        <f t="shared" si="5"/>
        <v>145262.00764724263</v>
      </c>
      <c r="T22" s="155">
        <f t="shared" si="5"/>
        <v>127280.13115883697</v>
      </c>
      <c r="U22" s="155">
        <f t="shared" si="5"/>
        <v>111535.30169894076</v>
      </c>
      <c r="V22" s="155">
        <f t="shared" si="5"/>
        <v>108754.60579341222</v>
      </c>
      <c r="W22" s="155">
        <f t="shared" si="5"/>
        <v>108101.9790236507</v>
      </c>
      <c r="X22" s="156">
        <f>SUM(L22:W22)</f>
        <v>1988600.1113097414</v>
      </c>
      <c r="Y22" s="151">
        <f>+X22/+COUNT(L$3:W$3)</f>
        <v>165716.67594247844</v>
      </c>
    </row>
    <row r="24" spans="1:26" s="8" customFormat="1" x14ac:dyDescent="0.25">
      <c r="A24" s="15" t="s">
        <v>124</v>
      </c>
      <c r="B24" s="117"/>
      <c r="C24" s="110"/>
      <c r="D24" s="110"/>
      <c r="E24" s="117"/>
      <c r="F24" s="117"/>
      <c r="G24" s="117"/>
      <c r="H24" s="117"/>
      <c r="I24" s="117"/>
      <c r="J24" s="117"/>
      <c r="K24" s="11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103"/>
      <c r="Y24" s="32"/>
      <c r="Z24" s="104"/>
    </row>
    <row r="25" spans="1:26" s="8" customFormat="1" x14ac:dyDescent="0.25">
      <c r="A25" s="20" t="s">
        <v>99</v>
      </c>
      <c r="B25" s="118"/>
      <c r="C25" s="111"/>
      <c r="D25" s="111"/>
      <c r="E25" s="118"/>
      <c r="F25" s="205"/>
      <c r="G25" s="205"/>
      <c r="H25" s="205"/>
      <c r="I25" s="205"/>
      <c r="J25" s="205"/>
      <c r="K25" s="205"/>
      <c r="L25" s="206">
        <f>+'Scenario 2 - Offshore Removal'!C4</f>
        <v>152.67025000000001</v>
      </c>
      <c r="M25" s="206">
        <f>+'Scenario 2 - Offshore Removal'!D4</f>
        <v>259.43932812499997</v>
      </c>
      <c r="N25" s="206">
        <f>+'Scenario 2 - Offshore Removal'!E4</f>
        <v>264.26100000000002</v>
      </c>
      <c r="O25" s="206">
        <f>+'Scenario 2 - Offshore Removal'!F4</f>
        <v>264.26100000000002</v>
      </c>
      <c r="P25" s="206">
        <f>+'Scenario 2 - Offshore Removal'!G4</f>
        <v>264.26100000000002</v>
      </c>
      <c r="Q25" s="206">
        <f>+'Scenario 2 - Offshore Removal'!H4</f>
        <v>228.79819531250001</v>
      </c>
      <c r="R25" s="206">
        <f>+'Scenario 2 - Offshore Removal'!I4</f>
        <v>178.08156249999999</v>
      </c>
      <c r="S25" s="206">
        <f>+'Scenario 2 - Offshore Removal'!J4</f>
        <v>146.58880468749999</v>
      </c>
      <c r="T25" s="206">
        <f>+'Scenario 2 - Offshore Removal'!K4</f>
        <v>124.891953125</v>
      </c>
      <c r="U25" s="206">
        <f>+'Scenario 2 - Offshore Removal'!L4</f>
        <v>106.49487109375001</v>
      </c>
      <c r="V25" s="206">
        <f>+'Scenario 2 - Offshore Removal'!M4</f>
        <v>92.668773437499993</v>
      </c>
      <c r="W25" s="206">
        <f>+'Scenario 2 - Offshore Removal'!N4</f>
        <v>82.336589843750005</v>
      </c>
      <c r="X25" s="144"/>
      <c r="Y25" s="145"/>
      <c r="Z25" s="104"/>
    </row>
    <row r="26" spans="1:26" s="8" customFormat="1" x14ac:dyDescent="0.25">
      <c r="A26" s="20" t="s">
        <v>40</v>
      </c>
      <c r="B26" s="118"/>
      <c r="C26" s="111"/>
      <c r="D26" s="111"/>
      <c r="E26" s="118"/>
      <c r="F26" s="205"/>
      <c r="G26" s="205"/>
      <c r="H26" s="205"/>
      <c r="I26" s="205"/>
      <c r="J26" s="205"/>
      <c r="K26" s="205"/>
      <c r="L26" s="21">
        <f>+'Scenario 2 - Offshore Removal'!C4*365</f>
        <v>55724.641250000001</v>
      </c>
      <c r="M26" s="21">
        <f>+'Scenario 2 - Offshore Removal'!D4*365</f>
        <v>94695.354765624987</v>
      </c>
      <c r="N26" s="21">
        <f>+'Scenario 2 - Offshore Removal'!E4*365</f>
        <v>96455.265000000014</v>
      </c>
      <c r="O26" s="21">
        <f>+'Scenario 2 - Offshore Removal'!F4*365</f>
        <v>96455.265000000014</v>
      </c>
      <c r="P26" s="21">
        <f>+'Scenario 2 - Offshore Removal'!G4*365</f>
        <v>96455.265000000014</v>
      </c>
      <c r="Q26" s="21">
        <f>+'Scenario 2 - Offshore Removal'!H4*365</f>
        <v>83511.341289062504</v>
      </c>
      <c r="R26" s="21">
        <f>+'Scenario 2 - Offshore Removal'!I4*365</f>
        <v>64999.770312499997</v>
      </c>
      <c r="S26" s="21">
        <f>+'Scenario 2 - Offshore Removal'!J4*365</f>
        <v>53504.913710937493</v>
      </c>
      <c r="T26" s="21">
        <f>+'Scenario 2 - Offshore Removal'!K4*365</f>
        <v>45585.562890624999</v>
      </c>
      <c r="U26" s="21">
        <f>+'Scenario 2 - Offshore Removal'!L4*365</f>
        <v>38870.627949218753</v>
      </c>
      <c r="V26" s="21">
        <f>+'Scenario 2 - Offshore Removal'!M4*365</f>
        <v>33824.102304687498</v>
      </c>
      <c r="W26" s="21">
        <f>+'Scenario 2 - Offshore Removal'!N4*365</f>
        <v>30052.85529296875</v>
      </c>
      <c r="X26" s="144">
        <f>SUM(L26:W26)</f>
        <v>790134.96476562496</v>
      </c>
      <c r="Y26" s="145">
        <f>AVERAGE(L26:W26)</f>
        <v>65844.580397135418</v>
      </c>
      <c r="Z26" s="104"/>
    </row>
    <row r="27" spans="1:26" s="8" customFormat="1" x14ac:dyDescent="0.25">
      <c r="A27" s="20" t="s">
        <v>47</v>
      </c>
      <c r="B27" s="118"/>
      <c r="C27" s="124">
        <f>SUM(L27:W27)</f>
        <v>462881.182766515</v>
      </c>
      <c r="D27" s="111"/>
      <c r="E27" s="118"/>
      <c r="F27" s="205"/>
      <c r="G27" s="205"/>
      <c r="H27" s="205"/>
      <c r="I27" s="205"/>
      <c r="J27" s="205"/>
      <c r="K27" s="205"/>
      <c r="L27" s="207">
        <f>+'Scenario 2 - Offshore Removal'!C16</f>
        <v>32545.148414870393</v>
      </c>
      <c r="M27" s="207">
        <f>+'Scenario 2 - Offshore Removal'!D16</f>
        <v>55327.008092595475</v>
      </c>
      <c r="N27" s="207">
        <f>+'Scenario 2 - Offshore Removal'!E16</f>
        <v>56412.530425574325</v>
      </c>
      <c r="O27" s="207">
        <f>+'Scenario 2 - Offshore Removal'!F16</f>
        <v>56412.530425574325</v>
      </c>
      <c r="P27" s="207">
        <f>+'Scenario 2 - Offshore Removal'!G16</f>
        <v>56412.530425574325</v>
      </c>
      <c r="Q27" s="207">
        <f>+'Scenario 2 - Offshore Removal'!H16</f>
        <v>49184.23722062305</v>
      </c>
      <c r="R27" s="207">
        <f>+'Scenario 2 - Offshore Removal'!I16</f>
        <v>37969.425990427051</v>
      </c>
      <c r="S27" s="207">
        <f>+'Scenario 2 - Offshore Removal'!J16</f>
        <v>31462.861968026977</v>
      </c>
      <c r="T27" s="207">
        <f>+'Scenario 2 - Offshore Removal'!K16</f>
        <v>26760.979293821005</v>
      </c>
      <c r="U27" s="207">
        <f>+'Scenario 2 - Offshore Removal'!L16</f>
        <v>22782.563288895271</v>
      </c>
      <c r="V27" s="207">
        <f>+'Scenario 2 - Offshore Removal'!M16</f>
        <v>19890.321016329905</v>
      </c>
      <c r="W27" s="207">
        <f>+'Scenario 2 - Offshore Removal'!N16</f>
        <v>17721.046204202794</v>
      </c>
      <c r="X27" s="144">
        <f>SUM(L27:W27)</f>
        <v>462881.182766515</v>
      </c>
      <c r="Y27" s="145">
        <f>AVERAGE(L27:W27)</f>
        <v>38573.431897209586</v>
      </c>
      <c r="Z27" s="104"/>
    </row>
    <row r="28" spans="1:26" s="8" customFormat="1" x14ac:dyDescent="0.25">
      <c r="A28" s="20" t="s">
        <v>48</v>
      </c>
      <c r="B28" s="118"/>
      <c r="C28" s="124">
        <f>SUM(L28:W28)</f>
        <v>213509.86081488291</v>
      </c>
      <c r="D28" s="111"/>
      <c r="E28" s="118"/>
      <c r="F28" s="205"/>
      <c r="G28" s="205"/>
      <c r="H28" s="205"/>
      <c r="I28" s="205"/>
      <c r="J28" s="205"/>
      <c r="K28" s="205"/>
      <c r="L28" s="207">
        <f>+'Scenario 2 - Offshore Removal'!C43</f>
        <v>15011.865608206701</v>
      </c>
      <c r="M28" s="207">
        <f>+'Scenario 2 - Offshore Removal'!D43</f>
        <v>25520.289519119575</v>
      </c>
      <c r="N28" s="207">
        <f>+'Scenario 2 - Offshore Removal'!E43</f>
        <v>26021.000567342642</v>
      </c>
      <c r="O28" s="207">
        <f>+'Scenario 2 - Offshore Removal'!F43</f>
        <v>26021.000567342642</v>
      </c>
      <c r="P28" s="207">
        <f>+'Scenario 2 - Offshore Removal'!G43</f>
        <v>26021.000567342642</v>
      </c>
      <c r="Q28" s="207">
        <f>+'Scenario 2 - Offshore Removal'!H43</f>
        <v>22686.85795455733</v>
      </c>
      <c r="R28" s="207">
        <f>+'Scenario 2 - Offshore Removal'!I43</f>
        <v>17513.88295800806</v>
      </c>
      <c r="S28" s="207">
        <f>+'Scenario 2 - Offshore Removal'!J43</f>
        <v>14512.647153815709</v>
      </c>
      <c r="T28" s="207">
        <f>+'Scenario 2 - Offshore Removal'!K43</f>
        <v>12343.843683910969</v>
      </c>
      <c r="U28" s="207">
        <f>+'Scenario 2 - Offshore Removal'!L43</f>
        <v>10508.748460556728</v>
      </c>
      <c r="V28" s="207">
        <f>+'Scenario 2 - Offshore Removal'!M43</f>
        <v>9174.6647517146666</v>
      </c>
      <c r="W28" s="207">
        <f>+'Scenario 2 - Offshore Removal'!N43</f>
        <v>8174.059022965228</v>
      </c>
      <c r="X28" s="144">
        <f>SUM(L28:W28)</f>
        <v>213509.86081488291</v>
      </c>
      <c r="Y28" s="145">
        <f>AVERAGE(L28:W28)</f>
        <v>17792.488401240244</v>
      </c>
      <c r="Z28" s="104"/>
    </row>
    <row r="29" spans="1:26" s="8" customFormat="1" x14ac:dyDescent="0.25">
      <c r="A29" s="20" t="s">
        <v>98</v>
      </c>
      <c r="B29" s="118"/>
      <c r="C29" s="124">
        <f>SUM(L29:W29)</f>
        <v>676391.04358139785</v>
      </c>
      <c r="D29" s="124"/>
      <c r="E29" s="118"/>
      <c r="F29" s="205"/>
      <c r="G29" s="205"/>
      <c r="H29" s="205"/>
      <c r="I29" s="205"/>
      <c r="J29" s="205"/>
      <c r="K29" s="205"/>
      <c r="L29" s="143">
        <f t="shared" ref="L29:W29" si="6">L27+L28</f>
        <v>47557.014023077092</v>
      </c>
      <c r="M29" s="143">
        <f t="shared" si="6"/>
        <v>80847.297611715054</v>
      </c>
      <c r="N29" s="143">
        <f t="shared" si="6"/>
        <v>82433.53099291696</v>
      </c>
      <c r="O29" s="143">
        <f t="shared" si="6"/>
        <v>82433.53099291696</v>
      </c>
      <c r="P29" s="143">
        <f t="shared" si="6"/>
        <v>82433.53099291696</v>
      </c>
      <c r="Q29" s="143">
        <f t="shared" si="6"/>
        <v>71871.09517518038</v>
      </c>
      <c r="R29" s="143">
        <f t="shared" si="6"/>
        <v>55483.308948435108</v>
      </c>
      <c r="S29" s="143">
        <f t="shared" si="6"/>
        <v>45975.509121842682</v>
      </c>
      <c r="T29" s="143">
        <f t="shared" si="6"/>
        <v>39104.822977731972</v>
      </c>
      <c r="U29" s="143">
        <f t="shared" si="6"/>
        <v>33291.311749451997</v>
      </c>
      <c r="V29" s="143">
        <f t="shared" si="6"/>
        <v>29064.985768044571</v>
      </c>
      <c r="W29" s="143">
        <f t="shared" si="6"/>
        <v>25895.105227168024</v>
      </c>
      <c r="X29" s="144">
        <f>SUM(L29:W29)</f>
        <v>676391.04358139785</v>
      </c>
      <c r="Y29" s="145">
        <f>AVERAGE(L29:W29)</f>
        <v>56365.920298449819</v>
      </c>
      <c r="Z29" s="104"/>
    </row>
    <row r="30" spans="1:26" s="8" customFormat="1" x14ac:dyDescent="0.25">
      <c r="A30" s="17"/>
      <c r="B30" s="119"/>
      <c r="C30" s="114"/>
      <c r="D30" s="114"/>
      <c r="E30" s="119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148"/>
      <c r="Z30" s="104"/>
    </row>
    <row r="31" spans="1:26" s="8" customFormat="1" ht="15.75" thickBot="1" x14ac:dyDescent="0.3">
      <c r="A31" s="74" t="s">
        <v>49</v>
      </c>
      <c r="B31" s="116"/>
      <c r="C31" s="129"/>
      <c r="D31" s="129">
        <f>NPV(0.1,F31:W31)</f>
        <v>1601153.9808619337</v>
      </c>
      <c r="E31" s="116"/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149">
        <f t="shared" ref="L31:W31" si="7">L29*L8</f>
        <v>263813.93270243792</v>
      </c>
      <c r="M31" s="149">
        <f t="shared" si="7"/>
        <v>465161.35476629256</v>
      </c>
      <c r="N31" s="149">
        <f t="shared" si="7"/>
        <v>491922.84454094502</v>
      </c>
      <c r="O31" s="149">
        <f t="shared" si="7"/>
        <v>510213.51782133232</v>
      </c>
      <c r="P31" s="149">
        <f t="shared" si="7"/>
        <v>529184.27484404331</v>
      </c>
      <c r="Q31" s="149">
        <f t="shared" si="7"/>
        <v>478533.40442163293</v>
      </c>
      <c r="R31" s="149">
        <f t="shared" si="7"/>
        <v>383155.72594942467</v>
      </c>
      <c r="S31" s="149">
        <f t="shared" si="7"/>
        <v>329302.08682414866</v>
      </c>
      <c r="T31" s="149">
        <f t="shared" si="7"/>
        <v>290504.74432483927</v>
      </c>
      <c r="U31" s="149">
        <f t="shared" si="7"/>
        <v>256512.64699136119</v>
      </c>
      <c r="V31" s="149">
        <f t="shared" si="7"/>
        <v>392312.52322268341</v>
      </c>
      <c r="W31" s="149">
        <f t="shared" si="7"/>
        <v>582691.95293120551</v>
      </c>
      <c r="X31" s="150">
        <f>SUM(L31:W31)</f>
        <v>4973309.0093403468</v>
      </c>
      <c r="Y31" s="151">
        <f>AVERAGE(L31:W31)</f>
        <v>414442.4174450289</v>
      </c>
      <c r="Z31" s="104"/>
    </row>
    <row r="32" spans="1:26" s="88" customFormat="1" ht="15.75" thickBot="1" x14ac:dyDescent="0.3">
      <c r="A32" s="14"/>
      <c r="B32" s="118"/>
      <c r="C32" s="113"/>
      <c r="D32" s="113"/>
      <c r="E32" s="118"/>
      <c r="F32" s="209"/>
      <c r="G32" s="209"/>
      <c r="H32" s="209"/>
      <c r="I32" s="209"/>
      <c r="J32" s="209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1"/>
      <c r="Y32" s="212"/>
    </row>
    <row r="33" spans="1:25" x14ac:dyDescent="0.25">
      <c r="A33" s="14"/>
      <c r="B33" s="118"/>
      <c r="C33" s="113"/>
      <c r="D33" s="113"/>
      <c r="E33" s="118"/>
      <c r="F33" s="209"/>
      <c r="G33" s="209"/>
      <c r="H33" s="209"/>
      <c r="I33" s="209"/>
      <c r="J33" s="209"/>
      <c r="K33" s="209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1"/>
      <c r="Y33" s="212"/>
    </row>
    <row r="34" spans="1:25" x14ac:dyDescent="0.25">
      <c r="A34" s="13" t="s">
        <v>125</v>
      </c>
      <c r="B34" s="116"/>
      <c r="C34" s="115"/>
      <c r="D34" s="115"/>
      <c r="E34" s="116"/>
      <c r="F34" s="214"/>
      <c r="G34" s="214"/>
      <c r="H34" s="214"/>
      <c r="I34" s="214"/>
      <c r="J34" s="214"/>
      <c r="K34" s="214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4"/>
      <c r="Y34" s="148"/>
    </row>
    <row r="35" spans="1:25" x14ac:dyDescent="0.25">
      <c r="A35" s="20" t="s">
        <v>100</v>
      </c>
      <c r="B35" s="118"/>
      <c r="C35" s="111"/>
      <c r="D35" s="111"/>
      <c r="E35" s="118"/>
      <c r="F35" s="21"/>
      <c r="G35" s="21"/>
      <c r="H35" s="21"/>
      <c r="I35" s="21"/>
      <c r="J35" s="21"/>
      <c r="K35" s="21"/>
      <c r="L35" s="244">
        <f>+'Scenario 3 - Onshore Removal'!C4</f>
        <v>152.67025000000001</v>
      </c>
      <c r="M35" s="244">
        <f>+'Scenario 3 - Onshore Removal'!D4</f>
        <v>259.43932812499997</v>
      </c>
      <c r="N35" s="244">
        <f>+'Scenario 3 - Onshore Removal'!E4</f>
        <v>264.26100000000002</v>
      </c>
      <c r="O35" s="244">
        <f>+'Scenario 3 - Onshore Removal'!F4</f>
        <v>264.26100000000002</v>
      </c>
      <c r="P35" s="244">
        <f>+'Scenario 3 - Onshore Removal'!G4</f>
        <v>264.26100000000002</v>
      </c>
      <c r="Q35" s="244">
        <f>+'Scenario 3 - Onshore Removal'!H4</f>
        <v>228.79819531250001</v>
      </c>
      <c r="R35" s="244">
        <f>+'Scenario 3 - Onshore Removal'!I4</f>
        <v>178.08156249999999</v>
      </c>
      <c r="S35" s="244">
        <f>+'Scenario 3 - Onshore Removal'!J4</f>
        <v>146.58880468749999</v>
      </c>
      <c r="T35" s="244">
        <f>+'Scenario 3 - Onshore Removal'!K4</f>
        <v>124.891953125</v>
      </c>
      <c r="U35" s="244">
        <f>+'Scenario 3 - Onshore Removal'!L4</f>
        <v>106.49487109375001</v>
      </c>
      <c r="V35" s="244">
        <f>+'Scenario 3 - Onshore Removal'!M4</f>
        <v>92.668773437499993</v>
      </c>
      <c r="W35" s="244">
        <f>+'Scenario 3 - Onshore Removal'!N4</f>
        <v>82.336589843750005</v>
      </c>
      <c r="X35" s="152"/>
      <c r="Y35" s="145"/>
    </row>
    <row r="36" spans="1:25" x14ac:dyDescent="0.25">
      <c r="A36" s="20" t="s">
        <v>96</v>
      </c>
      <c r="B36" s="118"/>
      <c r="C36" s="124">
        <f>SUM(L36:W36)</f>
        <v>38045.028720535469</v>
      </c>
      <c r="D36" s="111"/>
      <c r="E36" s="118"/>
      <c r="F36" s="21"/>
      <c r="G36" s="21"/>
      <c r="H36" s="21"/>
      <c r="I36" s="21"/>
      <c r="J36" s="21"/>
      <c r="K36" s="21"/>
      <c r="L36" s="21">
        <f>+'Scenario 3 - Onshore Removal'!C16</f>
        <v>2674.9437053318129</v>
      </c>
      <c r="M36" s="21">
        <f>+'Scenario 3 - Onshore Removal'!D16</f>
        <v>4547.4253226790797</v>
      </c>
      <c r="N36" s="21">
        <f>+'Scenario 3 - Onshore Removal'!E16</f>
        <v>4636.6463363485746</v>
      </c>
      <c r="O36" s="21">
        <f>+'Scenario 3 - Onshore Removal'!F16</f>
        <v>4636.6463363485746</v>
      </c>
      <c r="P36" s="21">
        <f>+'Scenario 3 - Onshore Removal'!G16</f>
        <v>4636.6463363485746</v>
      </c>
      <c r="Q36" s="21">
        <f>+'Scenario 3 - Onshore Removal'!H16</f>
        <v>4042.5400455306622</v>
      </c>
      <c r="R36" s="21">
        <f>+'Scenario 3 - Onshore Removal'!I16</f>
        <v>3120.7747389392098</v>
      </c>
      <c r="S36" s="21">
        <f>+'Scenario 3 - Onshore Removal'!J16</f>
        <v>2585.9886549063267</v>
      </c>
      <c r="T36" s="21">
        <f>+'Scenario 3 - Onshore Removal'!K16</f>
        <v>2199.5325446976171</v>
      </c>
      <c r="U36" s="21">
        <f>+'Scenario 3 - Onshore Removal'!L16</f>
        <v>1872.5394484023511</v>
      </c>
      <c r="V36" s="21">
        <f>+'Scenario 3 - Onshore Removal'!M16</f>
        <v>1634.8209054517729</v>
      </c>
      <c r="W36" s="21">
        <f>+'Scenario 3 - Onshore Removal'!N16</f>
        <v>1456.5243455509146</v>
      </c>
      <c r="X36" s="152">
        <f>SUM(L36:W36)</f>
        <v>38045.028720535469</v>
      </c>
      <c r="Y36" s="145">
        <f>+X36/+COUNT(L$3:W$3)</f>
        <v>3170.4190600446223</v>
      </c>
    </row>
    <row r="37" spans="1:25" x14ac:dyDescent="0.25">
      <c r="A37" s="20" t="s">
        <v>48</v>
      </c>
      <c r="B37" s="118"/>
      <c r="C37" s="124">
        <f>SUM(L37:W37)</f>
        <v>17548.755683415031</v>
      </c>
      <c r="D37" s="111"/>
      <c r="E37" s="118"/>
      <c r="F37" s="21"/>
      <c r="G37" s="21"/>
      <c r="H37" s="21"/>
      <c r="I37" s="21"/>
      <c r="J37" s="21"/>
      <c r="K37" s="21"/>
      <c r="L37" s="21">
        <f>+'Scenario 3 - Onshore Removal'!C43</f>
        <v>1233.8519677978109</v>
      </c>
      <c r="M37" s="21">
        <f>+'Scenario 3 - Onshore Removal'!D43</f>
        <v>2097.5580426673623</v>
      </c>
      <c r="N37" s="21">
        <f>+'Scenario 3 - Onshore Removal'!E43</f>
        <v>2138.7123753980254</v>
      </c>
      <c r="O37" s="21">
        <f>+'Scenario 3 - Onshore Removal'!F43</f>
        <v>2138.7123753980254</v>
      </c>
      <c r="P37" s="21">
        <f>+'Scenario 3 - Onshore Removal'!G43</f>
        <v>2138.7123753980254</v>
      </c>
      <c r="Q37" s="21">
        <f>+'Scenario 3 - Onshore Removal'!H43</f>
        <v>1864.6732565389584</v>
      </c>
      <c r="R37" s="21">
        <f>+'Scenario 3 - Onshore Removal'!I43</f>
        <v>1439.4972294253198</v>
      </c>
      <c r="S37" s="21">
        <f>+'Scenario 3 - Onshore Removal'!J43</f>
        <v>1192.82031401225</v>
      </c>
      <c r="T37" s="21">
        <f>+'Scenario 3 - Onshore Removal'!K43</f>
        <v>1014.5624945680249</v>
      </c>
      <c r="U37" s="21">
        <f>+'Scenario 3 - Onshore Removal'!L43</f>
        <v>863.73275018274467</v>
      </c>
      <c r="V37" s="21">
        <f>+'Scenario 3 - Onshore Removal'!M43</f>
        <v>754.08203438750706</v>
      </c>
      <c r="W37" s="21">
        <f>+'Scenario 3 - Onshore Removal'!N43</f>
        <v>671.84046764097775</v>
      </c>
      <c r="X37" s="152">
        <f>SUM(L37:W37)</f>
        <v>17548.755683415031</v>
      </c>
      <c r="Y37" s="145">
        <f>+X37/+COUNT(L$3:W$3)</f>
        <v>1462.3963069512527</v>
      </c>
    </row>
    <row r="38" spans="1:25" s="88" customFormat="1" x14ac:dyDescent="0.25">
      <c r="A38" s="20" t="s">
        <v>105</v>
      </c>
      <c r="B38" s="118"/>
      <c r="C38" s="124">
        <f>SUM(L38:W38)</f>
        <v>69948</v>
      </c>
      <c r="D38" s="111"/>
      <c r="E38" s="118"/>
      <c r="F38" s="21"/>
      <c r="G38" s="21"/>
      <c r="H38" s="21"/>
      <c r="I38" s="21"/>
      <c r="J38" s="21"/>
      <c r="K38" s="21"/>
      <c r="L38" s="21">
        <f>+'Scenario 3 - Onshore Removal'!C49</f>
        <v>5829</v>
      </c>
      <c r="M38" s="21">
        <f>+'Scenario 3 - Onshore Removal'!D49</f>
        <v>5829</v>
      </c>
      <c r="N38" s="21">
        <f>+'Scenario 3 - Onshore Removal'!E49</f>
        <v>5829</v>
      </c>
      <c r="O38" s="21">
        <f>+'Scenario 3 - Onshore Removal'!F49</f>
        <v>5829</v>
      </c>
      <c r="P38" s="21">
        <f>+'Scenario 3 - Onshore Removal'!G49</f>
        <v>5829</v>
      </c>
      <c r="Q38" s="21">
        <f>+'Scenario 3 - Onshore Removal'!H49</f>
        <v>5829</v>
      </c>
      <c r="R38" s="21">
        <f>+'Scenario 3 - Onshore Removal'!I49</f>
        <v>5829</v>
      </c>
      <c r="S38" s="21">
        <f>+'Scenario 3 - Onshore Removal'!J49</f>
        <v>5829</v>
      </c>
      <c r="T38" s="21">
        <f>+'Scenario 3 - Onshore Removal'!K49</f>
        <v>5829</v>
      </c>
      <c r="U38" s="21">
        <f>+'Scenario 3 - Onshore Removal'!L49</f>
        <v>5829</v>
      </c>
      <c r="V38" s="21">
        <f>+'Scenario 3 - Onshore Removal'!M49</f>
        <v>5829</v>
      </c>
      <c r="W38" s="21">
        <f>+'Scenario 3 - Onshore Removal'!N49</f>
        <v>5829</v>
      </c>
      <c r="X38" s="152">
        <f>SUM(L38:W38)</f>
        <v>69948</v>
      </c>
      <c r="Y38" s="145">
        <f>+X38/+COUNT(L$3:W$3)</f>
        <v>5829</v>
      </c>
    </row>
    <row r="39" spans="1:25" x14ac:dyDescent="0.25">
      <c r="A39" s="20" t="s">
        <v>50</v>
      </c>
      <c r="B39" s="118"/>
      <c r="C39" s="124">
        <f>SUM(L39:W39)</f>
        <v>125541.78440395049</v>
      </c>
      <c r="D39" s="124"/>
      <c r="E39" s="118"/>
      <c r="F39" s="21"/>
      <c r="G39" s="21"/>
      <c r="H39" s="21"/>
      <c r="I39" s="21"/>
      <c r="J39" s="21"/>
      <c r="K39" s="21"/>
      <c r="L39" s="21">
        <f>+L36+L37+L38</f>
        <v>9737.7956731296235</v>
      </c>
      <c r="M39" s="21">
        <f t="shared" ref="M39:W39" si="8">+M36+M37+M38</f>
        <v>12473.983365346441</v>
      </c>
      <c r="N39" s="21">
        <f t="shared" si="8"/>
        <v>12604.3587117466</v>
      </c>
      <c r="O39" s="21">
        <f t="shared" si="8"/>
        <v>12604.3587117466</v>
      </c>
      <c r="P39" s="21">
        <f t="shared" si="8"/>
        <v>12604.3587117466</v>
      </c>
      <c r="Q39" s="21">
        <f t="shared" si="8"/>
        <v>11736.21330206962</v>
      </c>
      <c r="R39" s="21">
        <f t="shared" si="8"/>
        <v>10389.27196836453</v>
      </c>
      <c r="S39" s="21">
        <f t="shared" si="8"/>
        <v>9607.8089689185763</v>
      </c>
      <c r="T39" s="21">
        <f t="shared" si="8"/>
        <v>9043.0950392656414</v>
      </c>
      <c r="U39" s="21">
        <f t="shared" si="8"/>
        <v>8565.2721985850949</v>
      </c>
      <c r="V39" s="21">
        <f t="shared" si="8"/>
        <v>8217.9029398392795</v>
      </c>
      <c r="W39" s="21">
        <f t="shared" si="8"/>
        <v>7957.3648131918926</v>
      </c>
      <c r="X39" s="152">
        <f>SUM(L39:W39)</f>
        <v>125541.78440395049</v>
      </c>
      <c r="Y39" s="145">
        <f>+X39/+COUNT(L$3:W$3)</f>
        <v>10461.815366995874</v>
      </c>
    </row>
    <row r="40" spans="1:25" x14ac:dyDescent="0.25">
      <c r="A40" s="17"/>
      <c r="B40" s="119"/>
      <c r="C40" s="114"/>
      <c r="D40" s="114"/>
      <c r="E40" s="119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4"/>
      <c r="Y40" s="148"/>
    </row>
    <row r="41" spans="1:25" ht="15.75" thickBot="1" x14ac:dyDescent="0.3">
      <c r="A41" s="16" t="s">
        <v>49</v>
      </c>
      <c r="B41" s="116"/>
      <c r="C41" s="129"/>
      <c r="D41" s="129">
        <f>NPV(0.1,F41:W41)</f>
        <v>299935.86744714907</v>
      </c>
      <c r="E41" s="116"/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155">
        <f t="shared" ref="L41:W41" si="9">+L39*L8</f>
        <v>54018.660026353122</v>
      </c>
      <c r="M41" s="155">
        <f t="shared" si="9"/>
        <v>71770.055066329864</v>
      </c>
      <c r="N41" s="155">
        <f t="shared" si="9"/>
        <v>75216.625036110505</v>
      </c>
      <c r="O41" s="155">
        <f t="shared" si="9"/>
        <v>78013.329293813222</v>
      </c>
      <c r="P41" s="155">
        <f t="shared" si="9"/>
        <v>80914.020598279865</v>
      </c>
      <c r="Q41" s="155">
        <f t="shared" si="9"/>
        <v>78142.264185189313</v>
      </c>
      <c r="R41" s="155">
        <f t="shared" si="9"/>
        <v>71746.064151009778</v>
      </c>
      <c r="S41" s="155">
        <f t="shared" si="9"/>
        <v>68816.454753940357</v>
      </c>
      <c r="T41" s="155">
        <f t="shared" si="9"/>
        <v>67180.000118733529</v>
      </c>
      <c r="U41" s="155">
        <f t="shared" si="9"/>
        <v>65996.217283229897</v>
      </c>
      <c r="V41" s="155">
        <f t="shared" si="9"/>
        <v>110923.37232354883</v>
      </c>
      <c r="W41" s="155">
        <f t="shared" si="9"/>
        <v>179056.71371129339</v>
      </c>
      <c r="X41" s="156">
        <f>SUM(L41:W41)</f>
        <v>1001793.7765478317</v>
      </c>
      <c r="Y41" s="151">
        <f>+X41/+COUNT(L$3:W$3)</f>
        <v>83482.814712319305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7"/>
  <sheetViews>
    <sheetView showGridLines="0" topLeftCell="L1" zoomScale="90" zoomScaleNormal="90" workbookViewId="0">
      <selection sqref="A1:Y48"/>
    </sheetView>
  </sheetViews>
  <sheetFormatPr defaultRowHeight="15" x14ac:dyDescent="0.25"/>
  <cols>
    <col min="1" max="1" width="62.7109375" customWidth="1"/>
    <col min="2" max="2" width="4.140625" customWidth="1"/>
    <col min="3" max="3" width="14.5703125" style="88" customWidth="1"/>
    <col min="4" max="4" width="16.85546875" customWidth="1"/>
    <col min="5" max="5" width="3.5703125" customWidth="1"/>
    <col min="6" max="8" width="8.7109375" style="88" customWidth="1"/>
    <col min="9" max="9" width="12.140625" style="88" customWidth="1"/>
    <col min="10" max="10" width="12.5703125" style="88" customWidth="1"/>
    <col min="11" max="11" width="13" style="88" customWidth="1"/>
    <col min="12" max="23" width="16.28515625" customWidth="1"/>
    <col min="24" max="24" width="17.5703125" customWidth="1"/>
    <col min="25" max="25" width="17" customWidth="1"/>
  </cols>
  <sheetData>
    <row r="1" spans="1:25" ht="18.75" x14ac:dyDescent="0.3">
      <c r="A1" s="7" t="s">
        <v>122</v>
      </c>
      <c r="B1" s="120"/>
      <c r="C1" s="120"/>
      <c r="D1" s="7"/>
      <c r="E1" s="120"/>
      <c r="F1" s="120"/>
      <c r="G1" s="120"/>
      <c r="H1" s="120"/>
      <c r="I1" s="120"/>
      <c r="J1" s="120"/>
      <c r="K1" s="120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5.75" thickBot="1" x14ac:dyDescent="0.3">
      <c r="A2" s="8"/>
      <c r="B2" s="118"/>
      <c r="C2" s="118"/>
      <c r="D2" s="8"/>
      <c r="E2" s="118"/>
      <c r="F2" s="118"/>
      <c r="G2" s="118"/>
      <c r="H2" s="118"/>
      <c r="I2" s="118"/>
      <c r="J2" s="118"/>
      <c r="K2" s="1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8"/>
      <c r="Y2" s="8"/>
    </row>
    <row r="3" spans="1:25" ht="16.5" thickBot="1" x14ac:dyDescent="0.3">
      <c r="A3" s="18"/>
      <c r="B3" s="80"/>
      <c r="C3" s="125" t="s">
        <v>112</v>
      </c>
      <c r="D3" s="125" t="s">
        <v>104</v>
      </c>
      <c r="E3" s="80"/>
      <c r="F3" s="19">
        <v>2015</v>
      </c>
      <c r="G3" s="19">
        <f>+F3+1</f>
        <v>2016</v>
      </c>
      <c r="H3" s="19">
        <f t="shared" ref="H3:W3" si="0">+G3+1</f>
        <v>2017</v>
      </c>
      <c r="I3" s="19">
        <f t="shared" si="0"/>
        <v>2018</v>
      </c>
      <c r="J3" s="19">
        <f t="shared" si="0"/>
        <v>2019</v>
      </c>
      <c r="K3" s="19">
        <f t="shared" si="0"/>
        <v>2020</v>
      </c>
      <c r="L3" s="19">
        <f t="shared" si="0"/>
        <v>2021</v>
      </c>
      <c r="M3" s="19">
        <f t="shared" si="0"/>
        <v>2022</v>
      </c>
      <c r="N3" s="19">
        <f t="shared" si="0"/>
        <v>2023</v>
      </c>
      <c r="O3" s="19">
        <f t="shared" si="0"/>
        <v>2024</v>
      </c>
      <c r="P3" s="19">
        <f t="shared" si="0"/>
        <v>2025</v>
      </c>
      <c r="Q3" s="19">
        <f t="shared" si="0"/>
        <v>2026</v>
      </c>
      <c r="R3" s="19">
        <f t="shared" si="0"/>
        <v>2027</v>
      </c>
      <c r="S3" s="19">
        <f t="shared" si="0"/>
        <v>2028</v>
      </c>
      <c r="T3" s="19">
        <f t="shared" si="0"/>
        <v>2029</v>
      </c>
      <c r="U3" s="19">
        <f t="shared" si="0"/>
        <v>2030</v>
      </c>
      <c r="V3" s="19">
        <f t="shared" si="0"/>
        <v>2031</v>
      </c>
      <c r="W3" s="19">
        <f t="shared" si="0"/>
        <v>2032</v>
      </c>
      <c r="X3" s="33" t="s">
        <v>37</v>
      </c>
      <c r="Y3" s="33" t="s">
        <v>38</v>
      </c>
    </row>
    <row r="4" spans="1:25" x14ac:dyDescent="0.25">
      <c r="A4" s="110" t="s">
        <v>39</v>
      </c>
      <c r="B4" s="117"/>
      <c r="C4" s="110"/>
      <c r="D4" s="110"/>
      <c r="E4" s="117"/>
      <c r="F4" s="117"/>
      <c r="G4" s="117"/>
      <c r="H4" s="117"/>
      <c r="I4" s="117"/>
      <c r="J4" s="117"/>
      <c r="K4" s="11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10"/>
      <c r="Y4" s="248"/>
    </row>
    <row r="5" spans="1:25" x14ac:dyDescent="0.25">
      <c r="A5" s="20" t="s">
        <v>41</v>
      </c>
      <c r="B5" s="118"/>
      <c r="C5" s="111"/>
      <c r="D5" s="111"/>
      <c r="E5" s="118"/>
      <c r="F5" s="163"/>
      <c r="G5" s="163"/>
      <c r="H5" s="163"/>
      <c r="I5" s="163"/>
      <c r="J5" s="163"/>
      <c r="K5" s="163"/>
      <c r="L5" s="163">
        <f>(('Scenario 1 - NTS Delivery'!C5*39.5*24)*365)/0.105506</f>
        <v>590761402.63153255</v>
      </c>
      <c r="M5" s="163">
        <f>(('Scenario 1 - NTS Delivery'!D5*39.5*24)*365)/0.105506</f>
        <v>1003907057.0782939</v>
      </c>
      <c r="N5" s="163">
        <f>(('Scenario 1 - NTS Delivery'!E5*39.5*24)*365)/0.105506</f>
        <v>1022564638.6300634</v>
      </c>
      <c r="O5" s="163">
        <f>(('Scenario 1 - NTS Delivery'!F5*39.5*24)*365)/0.105506</f>
        <v>1022564638.6300634</v>
      </c>
      <c r="P5" s="163">
        <f>(('Scenario 1 - NTS Delivery'!G5*39.5*24)*365)/0.105506</f>
        <v>1022564638.6300634</v>
      </c>
      <c r="Q5" s="163">
        <f>(('Scenario 1 - NTS Delivery'!H5*39.5*24)*365)/0.105506</f>
        <v>885340416.89442337</v>
      </c>
      <c r="R5" s="163">
        <f>(('Scenario 1 - NTS Delivery'!I5*39.5*24)*365)/0.105506</f>
        <v>689091120.53798926</v>
      </c>
      <c r="S5" s="163">
        <f>(('Scenario 1 - NTS Delivery'!J5*39.5*24)*365)/0.105506</f>
        <v>567229095.82755828</v>
      </c>
      <c r="T5" s="163">
        <f>(('Scenario 1 - NTS Delivery'!K5*39.5*24)*365)/0.105506</f>
        <v>483272578.68194109</v>
      </c>
      <c r="U5" s="163">
        <f>(('Scenario 1 - NTS Delivery'!L5*39.5*24)*365)/0.105506</f>
        <v>412084603.38807344</v>
      </c>
      <c r="V5" s="163">
        <f>(('Scenario 1 - NTS Delivery'!M5*39.5*24)*365)/0.105506</f>
        <v>358584168.00968891</v>
      </c>
      <c r="W5" s="163">
        <f>(('Scenario 1 - NTS Delivery'!N5*39.5*24)*365)/0.105506</f>
        <v>318603521.66837323</v>
      </c>
      <c r="X5" s="164">
        <f>SUM(L5:W5)</f>
        <v>8376567880.6080647</v>
      </c>
      <c r="Y5" s="165">
        <f>+X5/+COUNT(L$3:W$3)</f>
        <v>698047323.38400543</v>
      </c>
    </row>
    <row r="6" spans="1:25" x14ac:dyDescent="0.25">
      <c r="A6" s="20" t="s">
        <v>101</v>
      </c>
      <c r="B6" s="118"/>
      <c r="C6" s="111"/>
      <c r="D6" s="111"/>
      <c r="E6" s="118"/>
      <c r="F6" s="166"/>
      <c r="G6" s="166"/>
      <c r="H6" s="166"/>
      <c r="I6" s="166"/>
      <c r="J6" s="166"/>
      <c r="K6" s="166"/>
      <c r="L6" s="166">
        <v>30</v>
      </c>
      <c r="M6" s="166">
        <v>30</v>
      </c>
      <c r="N6" s="166">
        <v>30</v>
      </c>
      <c r="O6" s="166">
        <v>30</v>
      </c>
      <c r="P6" s="166">
        <v>30</v>
      </c>
      <c r="Q6" s="166">
        <v>30</v>
      </c>
      <c r="R6" s="166">
        <v>30</v>
      </c>
      <c r="S6" s="166">
        <v>30</v>
      </c>
      <c r="T6" s="166">
        <v>30</v>
      </c>
      <c r="U6" s="166">
        <v>30</v>
      </c>
      <c r="V6" s="166">
        <v>30</v>
      </c>
      <c r="W6" s="166">
        <v>30</v>
      </c>
      <c r="X6" s="164"/>
      <c r="Y6" s="165"/>
    </row>
    <row r="7" spans="1:25" x14ac:dyDescent="0.25">
      <c r="A7" s="20" t="s">
        <v>102</v>
      </c>
      <c r="B7" s="118"/>
      <c r="C7" s="111"/>
      <c r="D7" s="111"/>
      <c r="E7" s="118"/>
      <c r="F7" s="167"/>
      <c r="G7" s="167"/>
      <c r="H7" s="167"/>
      <c r="I7" s="167"/>
      <c r="J7" s="167"/>
      <c r="K7" s="167"/>
      <c r="L7" s="167">
        <v>0.04</v>
      </c>
      <c r="M7" s="167">
        <v>0.04</v>
      </c>
      <c r="N7" s="167">
        <v>0.04</v>
      </c>
      <c r="O7" s="167">
        <v>0.04</v>
      </c>
      <c r="P7" s="167">
        <v>0.04</v>
      </c>
      <c r="Q7" s="167">
        <v>3.7999999999999999E-2</v>
      </c>
      <c r="R7" s="167">
        <v>3.5999999999999997E-2</v>
      </c>
      <c r="S7" s="167">
        <v>3.3984330085412497E-2</v>
      </c>
      <c r="T7" s="167">
        <v>3.3984330085412497E-2</v>
      </c>
      <c r="U7" s="167">
        <v>3.2000000000000001E-2</v>
      </c>
      <c r="V7" s="167">
        <v>3.2000000000000001E-2</v>
      </c>
      <c r="W7" s="167">
        <v>3.2000000000000001E-2</v>
      </c>
      <c r="X7" s="164"/>
      <c r="Y7" s="165"/>
    </row>
    <row r="8" spans="1:25" x14ac:dyDescent="0.25">
      <c r="A8" s="20" t="s">
        <v>42</v>
      </c>
      <c r="B8" s="118"/>
      <c r="C8" s="111"/>
      <c r="D8" s="111"/>
      <c r="E8" s="118"/>
      <c r="F8" s="180">
        <v>4.5577460053854049</v>
      </c>
      <c r="G8" s="180">
        <v>4.6615738633985471</v>
      </c>
      <c r="H8" s="180">
        <v>4.7776979675016369</v>
      </c>
      <c r="I8" s="180">
        <v>4.9650586721095449</v>
      </c>
      <c r="J8" s="180">
        <v>5.1567159605183175</v>
      </c>
      <c r="K8" s="180">
        <v>5.3484529531794696</v>
      </c>
      <c r="L8" s="180">
        <v>5.5473191099513084</v>
      </c>
      <c r="M8" s="180">
        <v>5.753579507385898</v>
      </c>
      <c r="N8" s="180">
        <v>5.967509078110619</v>
      </c>
      <c r="O8" s="180">
        <v>6.1893929772967269</v>
      </c>
      <c r="P8" s="180">
        <v>6.4195269627539444</v>
      </c>
      <c r="Q8" s="180">
        <v>6.6582177891577112</v>
      </c>
      <c r="R8" s="180">
        <v>6.9057836169346114</v>
      </c>
      <c r="S8" s="180">
        <v>7.162554436350967</v>
      </c>
      <c r="T8" s="180">
        <v>7.4288725073698867</v>
      </c>
      <c r="U8" s="180">
        <v>7.705092815863094</v>
      </c>
      <c r="V8" s="180">
        <v>13.497771041539972</v>
      </c>
      <c r="W8" s="168">
        <v>22.502011396341821</v>
      </c>
      <c r="X8" s="164"/>
      <c r="Y8" s="169"/>
    </row>
    <row r="9" spans="1:25" x14ac:dyDescent="0.25">
      <c r="A9" s="20" t="s">
        <v>43</v>
      </c>
      <c r="B9" s="118"/>
      <c r="C9" s="111"/>
      <c r="D9" s="111"/>
      <c r="E9" s="118"/>
      <c r="F9" s="180">
        <v>20.254104273101937</v>
      </c>
      <c r="G9" s="180">
        <v>22.084187294087098</v>
      </c>
      <c r="H9" s="180">
        <v>21.856477611120489</v>
      </c>
      <c r="I9" s="180">
        <v>21.708960283500577</v>
      </c>
      <c r="J9" s="180">
        <v>21.562599477010359</v>
      </c>
      <c r="K9" s="180">
        <v>27.258773729879763</v>
      </c>
      <c r="L9" s="168">
        <v>32.954947982749168</v>
      </c>
      <c r="M9" s="168">
        <v>38.651122235618566</v>
      </c>
      <c r="N9" s="168">
        <v>44.347296488487977</v>
      </c>
      <c r="O9" s="168">
        <v>50.043470741357382</v>
      </c>
      <c r="P9" s="168">
        <v>55.739644994226779</v>
      </c>
      <c r="Q9" s="168">
        <v>60.198816593764931</v>
      </c>
      <c r="R9" s="168">
        <v>64.657988193303055</v>
      </c>
      <c r="S9" s="168">
        <v>69.117159792841207</v>
      </c>
      <c r="T9" s="168">
        <v>73.576331392379345</v>
      </c>
      <c r="U9" s="168">
        <v>78.035502991917511</v>
      </c>
      <c r="V9" s="168">
        <v>85.736746294827611</v>
      </c>
      <c r="W9" s="168">
        <v>93.021567875433874</v>
      </c>
      <c r="X9" s="164"/>
      <c r="Y9" s="169"/>
    </row>
    <row r="10" spans="1:25" x14ac:dyDescent="0.25">
      <c r="A10" s="20" t="s">
        <v>44</v>
      </c>
      <c r="B10" s="118"/>
      <c r="C10" s="111"/>
      <c r="D10" s="111"/>
      <c r="E10" s="118"/>
      <c r="F10" s="180">
        <v>61.793198917128741</v>
      </c>
      <c r="G10" s="180">
        <v>62.720096900885672</v>
      </c>
      <c r="H10" s="180">
        <v>63.660898354398945</v>
      </c>
      <c r="I10" s="180">
        <v>64.615811829714929</v>
      </c>
      <c r="J10" s="180">
        <v>65.585049007160634</v>
      </c>
      <c r="K10" s="180">
        <v>66.568824742268035</v>
      </c>
      <c r="L10" s="168">
        <v>67.678305154639176</v>
      </c>
      <c r="M10" s="168">
        <v>68.787785567010303</v>
      </c>
      <c r="N10" s="168">
        <v>69.897265979381444</v>
      </c>
      <c r="O10" s="168">
        <v>71.006746391752571</v>
      </c>
      <c r="P10" s="168">
        <v>72.116226804123698</v>
      </c>
      <c r="Q10" s="168">
        <v>73.22570721649484</v>
      </c>
      <c r="R10" s="168">
        <v>74.335187628865967</v>
      </c>
      <c r="S10" s="168">
        <v>75.444668041237108</v>
      </c>
      <c r="T10" s="168">
        <v>76.554148453608235</v>
      </c>
      <c r="U10" s="168">
        <v>77.663628865979376</v>
      </c>
      <c r="V10" s="168">
        <v>84.875251546391752</v>
      </c>
      <c r="W10" s="168">
        <v>92.086874226804113</v>
      </c>
      <c r="X10" s="164"/>
      <c r="Y10" s="169"/>
    </row>
    <row r="11" spans="1:25" x14ac:dyDescent="0.25">
      <c r="A11" s="20" t="s">
        <v>45</v>
      </c>
      <c r="B11" s="118"/>
      <c r="C11" s="111"/>
      <c r="D11" s="111"/>
      <c r="E11" s="118"/>
      <c r="F11" s="170"/>
      <c r="G11" s="170"/>
      <c r="H11" s="170"/>
      <c r="I11" s="170"/>
      <c r="J11" s="170"/>
      <c r="K11" s="170"/>
      <c r="L11" s="170">
        <v>57.997133120780859</v>
      </c>
      <c r="M11" s="170">
        <v>60.285499828812988</v>
      </c>
      <c r="N11" s="170">
        <v>62.573866536845109</v>
      </c>
      <c r="O11" s="170">
        <v>64.862233244877245</v>
      </c>
      <c r="P11" s="170">
        <v>67.150599952909374</v>
      </c>
      <c r="Q11" s="170">
        <v>69.438966660941475</v>
      </c>
      <c r="R11" s="170">
        <v>71.727333368973603</v>
      </c>
      <c r="S11" s="170">
        <v>72.541732990620346</v>
      </c>
      <c r="T11" s="170">
        <v>73.352283163269945</v>
      </c>
      <c r="U11" s="170">
        <v>74.104253654912839</v>
      </c>
      <c r="V11" s="170">
        <v>75.10722665854999</v>
      </c>
      <c r="W11" s="170">
        <v>76.370020007748707</v>
      </c>
      <c r="X11" s="164"/>
      <c r="Y11" s="165">
        <v>72.236879512124077</v>
      </c>
    </row>
    <row r="12" spans="1:25" ht="15.75" thickBot="1" x14ac:dyDescent="0.3">
      <c r="A12" s="24" t="s">
        <v>46</v>
      </c>
      <c r="B12" s="121"/>
      <c r="C12" s="112"/>
      <c r="D12" s="112"/>
      <c r="E12" s="121"/>
      <c r="F12" s="171"/>
      <c r="G12" s="171"/>
      <c r="H12" s="171"/>
      <c r="I12" s="171"/>
      <c r="J12" s="171"/>
      <c r="K12" s="171"/>
      <c r="L12" s="171">
        <v>369.87665831211638</v>
      </c>
      <c r="M12" s="171">
        <v>349.25797723299269</v>
      </c>
      <c r="N12" s="171">
        <v>339.22028172228312</v>
      </c>
      <c r="O12" s="171">
        <v>328.81506159159034</v>
      </c>
      <c r="P12" s="171">
        <v>323.63296671385393</v>
      </c>
      <c r="Q12" s="171">
        <v>317.27638981615746</v>
      </c>
      <c r="R12" s="171">
        <v>305.90842300173756</v>
      </c>
      <c r="S12" s="171">
        <v>299.99197150009633</v>
      </c>
      <c r="T12" s="171">
        <v>296.37501109881981</v>
      </c>
      <c r="U12" s="171">
        <v>291.94408577581271</v>
      </c>
      <c r="V12" s="171">
        <v>296.24717661169205</v>
      </c>
      <c r="W12" s="171">
        <v>292.56197925795175</v>
      </c>
      <c r="X12" s="172">
        <f>SUM(L12:W12)</f>
        <v>3811.1079826351042</v>
      </c>
      <c r="Y12" s="173">
        <v>300.40529413107851</v>
      </c>
    </row>
    <row r="13" spans="1:25" x14ac:dyDescent="0.25">
      <c r="A13" s="113"/>
      <c r="B13" s="118"/>
      <c r="C13" s="113"/>
      <c r="D13" s="113"/>
      <c r="E13" s="118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5"/>
      <c r="X13" s="249"/>
      <c r="Y13" s="250"/>
    </row>
    <row r="14" spans="1:25" x14ac:dyDescent="0.25">
      <c r="A14" s="105"/>
      <c r="B14" s="118"/>
      <c r="C14" s="105"/>
      <c r="D14" s="105"/>
      <c r="E14" s="118"/>
      <c r="F14" s="189"/>
      <c r="G14" s="189"/>
      <c r="H14" s="189"/>
      <c r="I14" s="189"/>
      <c r="J14" s="189"/>
      <c r="K14" s="189"/>
      <c r="L14" s="189"/>
      <c r="M14" s="189"/>
      <c r="N14" s="195"/>
      <c r="O14" s="189"/>
      <c r="P14" s="189"/>
      <c r="Q14" s="189"/>
      <c r="R14" s="189"/>
      <c r="S14" s="189"/>
      <c r="T14" s="189"/>
      <c r="U14" s="189"/>
      <c r="V14" s="189"/>
      <c r="W14" s="189"/>
      <c r="X14" s="251"/>
      <c r="Y14" s="252"/>
    </row>
    <row r="15" spans="1:25" x14ac:dyDescent="0.25">
      <c r="A15" s="115" t="s">
        <v>123</v>
      </c>
      <c r="B15" s="116"/>
      <c r="C15" s="115"/>
      <c r="D15" s="115"/>
      <c r="E15" s="116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251"/>
      <c r="Y15" s="252"/>
    </row>
    <row r="16" spans="1:25" x14ac:dyDescent="0.25">
      <c r="A16" s="20" t="s">
        <v>51</v>
      </c>
      <c r="B16" s="118"/>
      <c r="C16" s="124">
        <f>SUM(F16:W16)</f>
        <v>38045.028720535469</v>
      </c>
      <c r="D16" s="124"/>
      <c r="E16" s="118"/>
      <c r="F16" s="182"/>
      <c r="G16" s="182"/>
      <c r="H16" s="182"/>
      <c r="I16" s="182"/>
      <c r="J16" s="182"/>
      <c r="K16" s="182"/>
      <c r="L16" s="182">
        <f>+'Scenario 1 - NTS Delivery'!C18</f>
        <v>2674.9437053318129</v>
      </c>
      <c r="M16" s="182">
        <f>+'Scenario 1 - NTS Delivery'!D18</f>
        <v>4547.4253226790797</v>
      </c>
      <c r="N16" s="182">
        <f>+'Scenario 1 - NTS Delivery'!E18</f>
        <v>4636.6463363485746</v>
      </c>
      <c r="O16" s="182">
        <f>+'Scenario 1 - NTS Delivery'!F18</f>
        <v>4636.6463363485746</v>
      </c>
      <c r="P16" s="182">
        <f>+'Scenario 1 - NTS Delivery'!G18</f>
        <v>4636.6463363485746</v>
      </c>
      <c r="Q16" s="182">
        <f>+'Scenario 1 - NTS Delivery'!H18</f>
        <v>4042.5400455306622</v>
      </c>
      <c r="R16" s="182">
        <f>+'Scenario 1 - NTS Delivery'!I18</f>
        <v>3120.7747389392098</v>
      </c>
      <c r="S16" s="182">
        <f>+'Scenario 1 - NTS Delivery'!J18</f>
        <v>2585.9886549063267</v>
      </c>
      <c r="T16" s="182">
        <f>+'Scenario 1 - NTS Delivery'!K18</f>
        <v>2199.5325446976171</v>
      </c>
      <c r="U16" s="182">
        <f>+'Scenario 1 - NTS Delivery'!L18</f>
        <v>1872.5394484023511</v>
      </c>
      <c r="V16" s="182">
        <f>+'Scenario 1 - NTS Delivery'!M18</f>
        <v>1634.8209054517729</v>
      </c>
      <c r="W16" s="182">
        <f>+'Scenario 1 - NTS Delivery'!N18</f>
        <v>1456.5243455509146</v>
      </c>
      <c r="X16" s="181">
        <f>SUM(F16:W16)</f>
        <v>38045.028720535469</v>
      </c>
      <c r="Y16" s="165">
        <f>AVERAGE(F16:W16)</f>
        <v>3170.4190600446223</v>
      </c>
    </row>
    <row r="17" spans="1:25" x14ac:dyDescent="0.25">
      <c r="A17" s="20" t="s">
        <v>52</v>
      </c>
      <c r="B17" s="118"/>
      <c r="C17" s="123"/>
      <c r="D17" s="130">
        <f>NPV(0.1,F17:W17)</f>
        <v>23415.666039856314</v>
      </c>
      <c r="E17" s="118"/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f>+L16*0.26*L8</f>
        <v>3858.0792470040933</v>
      </c>
      <c r="M17" s="163">
        <f t="shared" ref="M17:W17" si="1">+M16*0.26*M8</f>
        <v>6802.633018462855</v>
      </c>
      <c r="N17" s="163">
        <f t="shared" si="1"/>
        <v>7193.9995670786002</v>
      </c>
      <c r="O17" s="163">
        <f t="shared" si="1"/>
        <v>7461.4868308251607</v>
      </c>
      <c r="P17" s="163">
        <f t="shared" si="1"/>
        <v>7738.9198049654324</v>
      </c>
      <c r="Q17" s="163">
        <f t="shared" si="1"/>
        <v>6998.1891315790162</v>
      </c>
      <c r="R17" s="163">
        <f t="shared" si="1"/>
        <v>5603.3627167205441</v>
      </c>
      <c r="S17" s="163">
        <f t="shared" si="1"/>
        <v>4815.7939732636705</v>
      </c>
      <c r="T17" s="163">
        <f t="shared" si="1"/>
        <v>4248.4121810960578</v>
      </c>
      <c r="U17" s="163">
        <f t="shared" si="1"/>
        <v>3751.3034653393511</v>
      </c>
      <c r="V17" s="163">
        <f t="shared" si="1"/>
        <v>5737.2739516848851</v>
      </c>
      <c r="W17" s="163">
        <f t="shared" si="1"/>
        <v>8521.4291298853586</v>
      </c>
      <c r="X17" s="196">
        <f>SUM(F17:W17)</f>
        <v>72730.883017905027</v>
      </c>
      <c r="Y17" s="197">
        <f>AVERAGE(F17:W17)</f>
        <v>4040.6046121058348</v>
      </c>
    </row>
    <row r="18" spans="1:25" x14ac:dyDescent="0.25">
      <c r="A18" s="20" t="s">
        <v>53</v>
      </c>
      <c r="B18" s="118"/>
      <c r="C18" s="123"/>
      <c r="D18" s="130">
        <f>NPV(0.1,F18:W18)</f>
        <v>158001.05915967945</v>
      </c>
      <c r="E18" s="118"/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f t="shared" ref="L18:W18" si="2">+L16*0.24*L9</f>
        <v>21156.631359838131</v>
      </c>
      <c r="M18" s="163">
        <f t="shared" si="2"/>
        <v>42183.142081011916</v>
      </c>
      <c r="N18" s="163">
        <f t="shared" si="2"/>
        <v>49349.455149674824</v>
      </c>
      <c r="O18" s="163">
        <f t="shared" si="2"/>
        <v>55688.130065059631</v>
      </c>
      <c r="P18" s="163">
        <f t="shared" si="2"/>
        <v>62026.804980444424</v>
      </c>
      <c r="Q18" s="163">
        <f t="shared" si="2"/>
        <v>58405.47042572411</v>
      </c>
      <c r="R18" s="163">
        <f t="shared" si="2"/>
        <v>48427.92389382956</v>
      </c>
      <c r="S18" s="163">
        <f t="shared" si="2"/>
        <v>42896.685860072415</v>
      </c>
      <c r="T18" s="163">
        <f t="shared" si="2"/>
        <v>38840.048500078876</v>
      </c>
      <c r="U18" s="163">
        <f t="shared" si="2"/>
        <v>35069.893854788454</v>
      </c>
      <c r="V18" s="163">
        <f>+V16*0.24*V8</f>
        <v>5295.945186170663</v>
      </c>
      <c r="W18" s="163">
        <f>+W16*0.24*W8</f>
        <v>7865.934581432638</v>
      </c>
      <c r="X18" s="196">
        <f>SUM(F18:W18)</f>
        <v>467206.06593812577</v>
      </c>
      <c r="Y18" s="197">
        <f>AVERAGE(F18:W18)</f>
        <v>25955.892552118097</v>
      </c>
    </row>
    <row r="19" spans="1:25" x14ac:dyDescent="0.25">
      <c r="A19" s="109" t="s">
        <v>103</v>
      </c>
      <c r="B19" s="116"/>
      <c r="C19" s="123"/>
      <c r="D19" s="130">
        <f>NPV(0.1,F19:W19)</f>
        <v>181416.72519953581</v>
      </c>
      <c r="E19" s="116"/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98">
        <f>+L18+L17</f>
        <v>25014.710606842225</v>
      </c>
      <c r="M19" s="198">
        <f t="shared" ref="M19:W19" si="3">+M18+M17</f>
        <v>48985.775099474769</v>
      </c>
      <c r="N19" s="198">
        <f t="shared" si="3"/>
        <v>56543.454716753426</v>
      </c>
      <c r="O19" s="198">
        <f t="shared" si="3"/>
        <v>63149.616895884792</v>
      </c>
      <c r="P19" s="198">
        <f t="shared" si="3"/>
        <v>69765.724785409853</v>
      </c>
      <c r="Q19" s="198">
        <f t="shared" si="3"/>
        <v>65403.659557303123</v>
      </c>
      <c r="R19" s="198">
        <f t="shared" si="3"/>
        <v>54031.286610550102</v>
      </c>
      <c r="S19" s="198">
        <f t="shared" si="3"/>
        <v>47712.479833336089</v>
      </c>
      <c r="T19" s="198">
        <f t="shared" si="3"/>
        <v>43088.460681174933</v>
      </c>
      <c r="U19" s="198">
        <f t="shared" si="3"/>
        <v>38821.197320127802</v>
      </c>
      <c r="V19" s="198">
        <f t="shared" si="3"/>
        <v>11033.219137855547</v>
      </c>
      <c r="W19" s="198">
        <f t="shared" si="3"/>
        <v>16387.363711317998</v>
      </c>
      <c r="X19" s="196">
        <f>SUM(F19:W19)</f>
        <v>539936.94895603065</v>
      </c>
      <c r="Y19" s="197">
        <f>AVERAGE(F19:W19)</f>
        <v>29996.497164223925</v>
      </c>
    </row>
    <row r="20" spans="1:25" x14ac:dyDescent="0.25">
      <c r="A20" s="39"/>
      <c r="B20" s="116"/>
      <c r="C20" s="116"/>
      <c r="D20" s="131"/>
      <c r="E20" s="116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00"/>
      <c r="Y20" s="201"/>
    </row>
    <row r="21" spans="1:25" x14ac:dyDescent="0.25">
      <c r="A21" s="20" t="s">
        <v>54</v>
      </c>
      <c r="B21" s="118"/>
      <c r="C21" s="123"/>
      <c r="D21" s="130">
        <f>NPV(0.1,F21:W21)</f>
        <v>478415.75166348566</v>
      </c>
      <c r="E21" s="118"/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f t="shared" ref="L21:W21" si="4">+L16*0.5*L10</f>
        <v>90517.828180463825</v>
      </c>
      <c r="M21" s="163">
        <f t="shared" si="4"/>
        <v>156403.6589892206</v>
      </c>
      <c r="N21" s="163">
        <f t="shared" si="4"/>
        <v>162044.45111204041</v>
      </c>
      <c r="O21" s="163">
        <f t="shared" si="4"/>
        <v>164616.58525667596</v>
      </c>
      <c r="P21" s="163">
        <f t="shared" si="4"/>
        <v>167188.71940131151</v>
      </c>
      <c r="Q21" s="163">
        <f t="shared" si="4"/>
        <v>148008.92689249199</v>
      </c>
      <c r="R21" s="163">
        <f t="shared" si="4"/>
        <v>115991.68788323569</v>
      </c>
      <c r="S21" s="163">
        <f t="shared" si="4"/>
        <v>97549.527813906549</v>
      </c>
      <c r="T21" s="163">
        <f t="shared" si="4"/>
        <v>84191.670477662032</v>
      </c>
      <c r="U21" s="163">
        <f t="shared" si="4"/>
        <v>72714.104378812961</v>
      </c>
      <c r="V21" s="163">
        <f t="shared" si="4"/>
        <v>69377.917791759581</v>
      </c>
      <c r="W21" s="163">
        <f t="shared" si="4"/>
        <v>67063.38710851263</v>
      </c>
      <c r="X21" s="196">
        <f>SUM(F21:W21)</f>
        <v>1395668.4652860938</v>
      </c>
      <c r="Y21" s="197">
        <f>AVERAGE(F21:W21)</f>
        <v>77537.136960338539</v>
      </c>
    </row>
    <row r="22" spans="1:25" x14ac:dyDescent="0.25">
      <c r="A22" s="17"/>
      <c r="B22" s="119"/>
      <c r="C22" s="114"/>
      <c r="D22" s="132"/>
      <c r="E22" s="119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92"/>
      <c r="Y22" s="188"/>
    </row>
    <row r="23" spans="1:25" ht="15.75" thickBot="1" x14ac:dyDescent="0.3">
      <c r="A23" s="74" t="s">
        <v>55</v>
      </c>
      <c r="B23" s="116"/>
      <c r="C23" s="122"/>
      <c r="D23" s="129">
        <f>NPV(0.1,F23:W23)</f>
        <v>659832.47686302126</v>
      </c>
      <c r="E23" s="116"/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193">
        <f>+L21+L19</f>
        <v>115532.53878730605</v>
      </c>
      <c r="M23" s="193">
        <f t="shared" ref="M23:W23" si="5">+M21+M19</f>
        <v>205389.43408869536</v>
      </c>
      <c r="N23" s="193">
        <f t="shared" si="5"/>
        <v>218587.90582879382</v>
      </c>
      <c r="O23" s="193">
        <f t="shared" si="5"/>
        <v>227766.20215256076</v>
      </c>
      <c r="P23" s="193">
        <f t="shared" si="5"/>
        <v>236954.44418672135</v>
      </c>
      <c r="Q23" s="193">
        <f t="shared" si="5"/>
        <v>213412.58644979511</v>
      </c>
      <c r="R23" s="193">
        <f t="shared" si="5"/>
        <v>170022.97449378579</v>
      </c>
      <c r="S23" s="193">
        <f t="shared" si="5"/>
        <v>145262.00764724263</v>
      </c>
      <c r="T23" s="193">
        <f t="shared" si="5"/>
        <v>127280.13115883697</v>
      </c>
      <c r="U23" s="193">
        <f t="shared" si="5"/>
        <v>111535.30169894076</v>
      </c>
      <c r="V23" s="193">
        <f t="shared" si="5"/>
        <v>80411.136929615124</v>
      </c>
      <c r="W23" s="193">
        <f t="shared" si="5"/>
        <v>83450.750819830631</v>
      </c>
      <c r="X23" s="203">
        <f>SUM(F23:W23)</f>
        <v>1935605.4142421242</v>
      </c>
      <c r="Y23" s="204">
        <f>AVERAGE(F23:W23)</f>
        <v>107533.63412456245</v>
      </c>
    </row>
    <row r="24" spans="1:2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53"/>
      <c r="Y24" s="252"/>
    </row>
    <row r="25" spans="1:25" s="88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53"/>
      <c r="Y25" s="252"/>
    </row>
    <row r="26" spans="1:25" x14ac:dyDescent="0.25">
      <c r="A26" s="110" t="s">
        <v>124</v>
      </c>
      <c r="B26" s="117"/>
      <c r="C26" s="110"/>
      <c r="D26" s="110"/>
      <c r="E26" s="11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253"/>
      <c r="Y26" s="252"/>
    </row>
    <row r="27" spans="1:25" x14ac:dyDescent="0.25">
      <c r="A27" s="20" t="s">
        <v>99</v>
      </c>
      <c r="B27" s="118"/>
      <c r="C27" s="111"/>
      <c r="D27" s="111"/>
      <c r="E27" s="118"/>
      <c r="F27" s="180"/>
      <c r="G27" s="180"/>
      <c r="H27" s="180"/>
      <c r="I27" s="180"/>
      <c r="J27" s="180"/>
      <c r="K27" s="180"/>
      <c r="L27" s="180">
        <f>+'Scenario 2 - Offshore Removal'!C4</f>
        <v>152.67025000000001</v>
      </c>
      <c r="M27" s="180">
        <f>+'Scenario 2 - Offshore Removal'!D4</f>
        <v>259.43932812499997</v>
      </c>
      <c r="N27" s="180">
        <f>+'Scenario 2 - Offshore Removal'!E4</f>
        <v>264.26100000000002</v>
      </c>
      <c r="O27" s="180">
        <f>+'Scenario 2 - Offshore Removal'!F4</f>
        <v>264.26100000000002</v>
      </c>
      <c r="P27" s="180">
        <f>+'Scenario 2 - Offshore Removal'!G4</f>
        <v>264.26100000000002</v>
      </c>
      <c r="Q27" s="180">
        <f>+'Scenario 2 - Offshore Removal'!H4</f>
        <v>228.79819531250001</v>
      </c>
      <c r="R27" s="180">
        <f>+'Scenario 2 - Offshore Removal'!I4</f>
        <v>178.08156249999999</v>
      </c>
      <c r="S27" s="180">
        <f>+'Scenario 2 - Offshore Removal'!J4</f>
        <v>146.58880468749999</v>
      </c>
      <c r="T27" s="180">
        <f>+'Scenario 2 - Offshore Removal'!K4</f>
        <v>124.891953125</v>
      </c>
      <c r="U27" s="180">
        <f>+'Scenario 2 - Offshore Removal'!L4</f>
        <v>106.49487109375001</v>
      </c>
      <c r="V27" s="180">
        <f>+'Scenario 2 - Offshore Removal'!M4</f>
        <v>92.668773437499993</v>
      </c>
      <c r="W27" s="180">
        <f>+'Scenario 2 - Offshore Removal'!N4</f>
        <v>82.336589843750005</v>
      </c>
      <c r="X27" s="181"/>
      <c r="Y27" s="169"/>
    </row>
    <row r="28" spans="1:25" x14ac:dyDescent="0.25">
      <c r="A28" s="20" t="s">
        <v>40</v>
      </c>
      <c r="B28" s="118"/>
      <c r="C28" s="111"/>
      <c r="D28" s="111"/>
      <c r="E28" s="118"/>
      <c r="F28" s="182"/>
      <c r="G28" s="182"/>
      <c r="H28" s="182"/>
      <c r="I28" s="182"/>
      <c r="J28" s="182"/>
      <c r="K28" s="182"/>
      <c r="L28" s="182">
        <f>+'Scenario 2 - Offshore Removal'!C4*365</f>
        <v>55724.641250000001</v>
      </c>
      <c r="M28" s="182">
        <f>+'Scenario 2 - Offshore Removal'!D4*365</f>
        <v>94695.354765624987</v>
      </c>
      <c r="N28" s="182">
        <f>+'Scenario 2 - Offshore Removal'!E4*365</f>
        <v>96455.265000000014</v>
      </c>
      <c r="O28" s="182">
        <f>+'Scenario 2 - Offshore Removal'!F4*365</f>
        <v>96455.265000000014</v>
      </c>
      <c r="P28" s="182">
        <f>+'Scenario 2 - Offshore Removal'!G4*365</f>
        <v>96455.265000000014</v>
      </c>
      <c r="Q28" s="182">
        <f>+'Scenario 2 - Offshore Removal'!H4*365</f>
        <v>83511.341289062504</v>
      </c>
      <c r="R28" s="182">
        <f>+'Scenario 2 - Offshore Removal'!I4*365</f>
        <v>64999.770312499997</v>
      </c>
      <c r="S28" s="182">
        <f>+'Scenario 2 - Offshore Removal'!J4*365</f>
        <v>53504.913710937493</v>
      </c>
      <c r="T28" s="182">
        <f>+'Scenario 2 - Offshore Removal'!K4*365</f>
        <v>45585.562890624999</v>
      </c>
      <c r="U28" s="182">
        <f>+'Scenario 2 - Offshore Removal'!L4*365</f>
        <v>38870.627949218753</v>
      </c>
      <c r="V28" s="182">
        <f>+'Scenario 2 - Offshore Removal'!M4*365</f>
        <v>33824.102304687498</v>
      </c>
      <c r="W28" s="182">
        <f>+'Scenario 2 - Offshore Removal'!N4*365</f>
        <v>30052.85529296875</v>
      </c>
      <c r="X28" s="181">
        <f t="shared" ref="X28:X33" si="6">SUM(F28:W28)</f>
        <v>790134.96476562496</v>
      </c>
      <c r="Y28" s="165">
        <f t="shared" ref="Y28:Y33" si="7">AVERAGE(F28:W28)</f>
        <v>65844.580397135418</v>
      </c>
    </row>
    <row r="29" spans="1:25" x14ac:dyDescent="0.25">
      <c r="A29" s="20" t="s">
        <v>47</v>
      </c>
      <c r="B29" s="118"/>
      <c r="C29" s="124">
        <f>SUM(F29:W29)</f>
        <v>462881.182766515</v>
      </c>
      <c r="D29" s="111"/>
      <c r="E29" s="118"/>
      <c r="F29" s="183"/>
      <c r="G29" s="183"/>
      <c r="H29" s="183"/>
      <c r="I29" s="183"/>
      <c r="J29" s="183"/>
      <c r="K29" s="183"/>
      <c r="L29" s="183">
        <f>+'Scenario 2 - Offshore Removal'!C16</f>
        <v>32545.148414870393</v>
      </c>
      <c r="M29" s="183">
        <f>+'Scenario 2 - Offshore Removal'!D16</f>
        <v>55327.008092595475</v>
      </c>
      <c r="N29" s="183">
        <f>+'Scenario 2 - Offshore Removal'!E16</f>
        <v>56412.530425574325</v>
      </c>
      <c r="O29" s="183">
        <f>+'Scenario 2 - Offshore Removal'!F16</f>
        <v>56412.530425574325</v>
      </c>
      <c r="P29" s="183">
        <f>+'Scenario 2 - Offshore Removal'!G16</f>
        <v>56412.530425574325</v>
      </c>
      <c r="Q29" s="183">
        <f>+'Scenario 2 - Offshore Removal'!H16</f>
        <v>49184.23722062305</v>
      </c>
      <c r="R29" s="183">
        <f>+'Scenario 2 - Offshore Removal'!I16</f>
        <v>37969.425990427051</v>
      </c>
      <c r="S29" s="183">
        <f>+'Scenario 2 - Offshore Removal'!J16</f>
        <v>31462.861968026977</v>
      </c>
      <c r="T29" s="183">
        <f>+'Scenario 2 - Offshore Removal'!K16</f>
        <v>26760.979293821005</v>
      </c>
      <c r="U29" s="183">
        <f>+'Scenario 2 - Offshore Removal'!L16</f>
        <v>22782.563288895271</v>
      </c>
      <c r="V29" s="183">
        <f>+'Scenario 2 - Offshore Removal'!M16</f>
        <v>19890.321016329905</v>
      </c>
      <c r="W29" s="183">
        <f>+'Scenario 2 - Offshore Removal'!N16</f>
        <v>17721.046204202794</v>
      </c>
      <c r="X29" s="181">
        <f t="shared" si="6"/>
        <v>462881.182766515</v>
      </c>
      <c r="Y29" s="165">
        <f t="shared" si="7"/>
        <v>38573.431897209586</v>
      </c>
    </row>
    <row r="30" spans="1:25" x14ac:dyDescent="0.25">
      <c r="A30" s="20" t="s">
        <v>48</v>
      </c>
      <c r="B30" s="118"/>
      <c r="C30" s="124">
        <f>SUM(F30:W30)</f>
        <v>213509.86081488291</v>
      </c>
      <c r="D30" s="111"/>
      <c r="E30" s="118"/>
      <c r="F30" s="183"/>
      <c r="G30" s="183"/>
      <c r="H30" s="183"/>
      <c r="I30" s="183"/>
      <c r="J30" s="183"/>
      <c r="K30" s="183"/>
      <c r="L30" s="183">
        <f>+'Scenario 2 - Offshore Removal'!C43</f>
        <v>15011.865608206701</v>
      </c>
      <c r="M30" s="183">
        <f>+'Scenario 2 - Offshore Removal'!D43</f>
        <v>25520.289519119575</v>
      </c>
      <c r="N30" s="183">
        <f>+'Scenario 2 - Offshore Removal'!E43</f>
        <v>26021.000567342642</v>
      </c>
      <c r="O30" s="183">
        <f>+'Scenario 2 - Offshore Removal'!F43</f>
        <v>26021.000567342642</v>
      </c>
      <c r="P30" s="183">
        <f>+'Scenario 2 - Offshore Removal'!G43</f>
        <v>26021.000567342642</v>
      </c>
      <c r="Q30" s="183">
        <f>+'Scenario 2 - Offshore Removal'!H43</f>
        <v>22686.85795455733</v>
      </c>
      <c r="R30" s="183">
        <f>+'Scenario 2 - Offshore Removal'!I43</f>
        <v>17513.88295800806</v>
      </c>
      <c r="S30" s="183">
        <f>+'Scenario 2 - Offshore Removal'!J43</f>
        <v>14512.647153815709</v>
      </c>
      <c r="T30" s="183">
        <f>+'Scenario 2 - Offshore Removal'!K43</f>
        <v>12343.843683910969</v>
      </c>
      <c r="U30" s="183">
        <f>+'Scenario 2 - Offshore Removal'!L43</f>
        <v>10508.748460556728</v>
      </c>
      <c r="V30" s="183">
        <f>+'Scenario 2 - Offshore Removal'!M43</f>
        <v>9174.6647517146666</v>
      </c>
      <c r="W30" s="183">
        <f>+'Scenario 2 - Offshore Removal'!N43</f>
        <v>8174.059022965228</v>
      </c>
      <c r="X30" s="181">
        <f t="shared" si="6"/>
        <v>213509.86081488291</v>
      </c>
      <c r="Y30" s="165">
        <f t="shared" si="7"/>
        <v>17792.488401240244</v>
      </c>
    </row>
    <row r="31" spans="1:25" x14ac:dyDescent="0.25">
      <c r="A31" s="20" t="s">
        <v>98</v>
      </c>
      <c r="B31" s="118"/>
      <c r="C31" s="124">
        <f>SUM(F31:W31)</f>
        <v>676391.04358139785</v>
      </c>
      <c r="D31" s="124"/>
      <c r="E31" s="118"/>
      <c r="F31" s="184"/>
      <c r="G31" s="184"/>
      <c r="H31" s="184"/>
      <c r="I31" s="184"/>
      <c r="J31" s="184"/>
      <c r="K31" s="184"/>
      <c r="L31" s="184">
        <f t="shared" ref="L31:W31" si="8">L29+L30</f>
        <v>47557.014023077092</v>
      </c>
      <c r="M31" s="184">
        <f t="shared" si="8"/>
        <v>80847.297611715054</v>
      </c>
      <c r="N31" s="184">
        <f t="shared" si="8"/>
        <v>82433.53099291696</v>
      </c>
      <c r="O31" s="184">
        <f t="shared" si="8"/>
        <v>82433.53099291696</v>
      </c>
      <c r="P31" s="184">
        <f t="shared" si="8"/>
        <v>82433.53099291696</v>
      </c>
      <c r="Q31" s="184">
        <f t="shared" si="8"/>
        <v>71871.09517518038</v>
      </c>
      <c r="R31" s="184">
        <f t="shared" si="8"/>
        <v>55483.308948435108</v>
      </c>
      <c r="S31" s="184">
        <f t="shared" si="8"/>
        <v>45975.509121842682</v>
      </c>
      <c r="T31" s="184">
        <f t="shared" si="8"/>
        <v>39104.822977731972</v>
      </c>
      <c r="U31" s="184">
        <f t="shared" si="8"/>
        <v>33291.311749451997</v>
      </c>
      <c r="V31" s="184">
        <f t="shared" si="8"/>
        <v>29064.985768044571</v>
      </c>
      <c r="W31" s="184">
        <f t="shared" si="8"/>
        <v>25895.105227168024</v>
      </c>
      <c r="X31" s="181">
        <f t="shared" si="6"/>
        <v>676391.04358139785</v>
      </c>
      <c r="Y31" s="165">
        <f t="shared" si="7"/>
        <v>56365.920298449819</v>
      </c>
    </row>
    <row r="32" spans="1:25" s="88" customFormat="1" x14ac:dyDescent="0.25">
      <c r="A32" s="20" t="s">
        <v>114</v>
      </c>
      <c r="B32" s="118"/>
      <c r="C32" s="124"/>
      <c r="D32" s="157">
        <f>NPV(0.1,F32:W32)</f>
        <v>106685572.78016387</v>
      </c>
      <c r="E32" s="118"/>
      <c r="F32" s="185">
        <v>0</v>
      </c>
      <c r="G32" s="185">
        <v>0</v>
      </c>
      <c r="H32" s="185">
        <v>0</v>
      </c>
      <c r="I32" s="185">
        <v>0</v>
      </c>
      <c r="J32" s="185">
        <v>90000000</v>
      </c>
      <c r="K32" s="185">
        <v>90000000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1">
        <f t="shared" si="6"/>
        <v>180000000</v>
      </c>
      <c r="Y32" s="165">
        <f t="shared" si="7"/>
        <v>10000000</v>
      </c>
    </row>
    <row r="33" spans="1:25" s="88" customFormat="1" x14ac:dyDescent="0.25">
      <c r="A33" s="20" t="s">
        <v>115</v>
      </c>
      <c r="B33" s="118"/>
      <c r="C33" s="124"/>
      <c r="D33" s="157">
        <f>NPV(0.1,F33:W33)</f>
        <v>1601153.9808619337</v>
      </c>
      <c r="E33" s="118"/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f>+L31*L8</f>
        <v>263813.93270243792</v>
      </c>
      <c r="M33" s="185">
        <f t="shared" ref="M33:W33" si="9">+M31*M8</f>
        <v>465161.35476629256</v>
      </c>
      <c r="N33" s="185">
        <f t="shared" si="9"/>
        <v>491922.84454094502</v>
      </c>
      <c r="O33" s="185">
        <f t="shared" si="9"/>
        <v>510213.51782133232</v>
      </c>
      <c r="P33" s="185">
        <f t="shared" si="9"/>
        <v>529184.27484404331</v>
      </c>
      <c r="Q33" s="185">
        <f t="shared" si="9"/>
        <v>478533.40442163293</v>
      </c>
      <c r="R33" s="185">
        <f t="shared" si="9"/>
        <v>383155.72594942467</v>
      </c>
      <c r="S33" s="185">
        <f t="shared" si="9"/>
        <v>329302.08682414866</v>
      </c>
      <c r="T33" s="185">
        <f t="shared" si="9"/>
        <v>290504.74432483927</v>
      </c>
      <c r="U33" s="185">
        <f t="shared" si="9"/>
        <v>256512.64699136119</v>
      </c>
      <c r="V33" s="185">
        <f t="shared" si="9"/>
        <v>392312.52322268341</v>
      </c>
      <c r="W33" s="185">
        <f t="shared" si="9"/>
        <v>582691.95293120551</v>
      </c>
      <c r="X33" s="181">
        <f t="shared" si="6"/>
        <v>4973309.0093403468</v>
      </c>
      <c r="Y33" s="165">
        <f t="shared" si="7"/>
        <v>276294.94496335258</v>
      </c>
    </row>
    <row r="34" spans="1:25" x14ac:dyDescent="0.25">
      <c r="A34" s="17"/>
      <c r="B34" s="119"/>
      <c r="C34" s="114"/>
      <c r="D34" s="114"/>
      <c r="E34" s="119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7"/>
      <c r="Y34" s="188"/>
    </row>
    <row r="35" spans="1:25" ht="15.75" thickBot="1" x14ac:dyDescent="0.3">
      <c r="A35" s="74" t="s">
        <v>49</v>
      </c>
      <c r="B35" s="116"/>
      <c r="C35" s="129"/>
      <c r="D35" s="129">
        <f>NPV(0.1,F35:W35)</f>
        <v>108286726.76102582</v>
      </c>
      <c r="E35" s="116"/>
      <c r="F35" s="193">
        <f>+F33+F32</f>
        <v>0</v>
      </c>
      <c r="G35" s="193">
        <f t="shared" ref="G35:H35" si="10">+G33+G32</f>
        <v>0</v>
      </c>
      <c r="H35" s="193">
        <f t="shared" si="10"/>
        <v>0</v>
      </c>
      <c r="I35" s="193">
        <f t="shared" ref="I35:W35" si="11">+I33+I32</f>
        <v>0</v>
      </c>
      <c r="J35" s="193">
        <f t="shared" si="11"/>
        <v>90000000</v>
      </c>
      <c r="K35" s="193">
        <f t="shared" si="11"/>
        <v>90000000</v>
      </c>
      <c r="L35" s="193">
        <f t="shared" si="11"/>
        <v>263813.93270243792</v>
      </c>
      <c r="M35" s="193">
        <f t="shared" si="11"/>
        <v>465161.35476629256</v>
      </c>
      <c r="N35" s="193">
        <f t="shared" si="11"/>
        <v>491922.84454094502</v>
      </c>
      <c r="O35" s="193">
        <f t="shared" si="11"/>
        <v>510213.51782133232</v>
      </c>
      <c r="P35" s="193">
        <f t="shared" si="11"/>
        <v>529184.27484404331</v>
      </c>
      <c r="Q35" s="193">
        <f t="shared" si="11"/>
        <v>478533.40442163293</v>
      </c>
      <c r="R35" s="193">
        <f t="shared" si="11"/>
        <v>383155.72594942467</v>
      </c>
      <c r="S35" s="193">
        <f t="shared" si="11"/>
        <v>329302.08682414866</v>
      </c>
      <c r="T35" s="193">
        <f t="shared" si="11"/>
        <v>290504.74432483927</v>
      </c>
      <c r="U35" s="193">
        <f t="shared" si="11"/>
        <v>256512.64699136119</v>
      </c>
      <c r="V35" s="193">
        <f t="shared" si="11"/>
        <v>392312.52322268341</v>
      </c>
      <c r="W35" s="193">
        <f t="shared" si="11"/>
        <v>582691.95293120551</v>
      </c>
      <c r="X35" s="181">
        <f>SUM(F35:W35)</f>
        <v>184973309.00934038</v>
      </c>
      <c r="Y35" s="165">
        <f>AVERAGE(F35:W35)</f>
        <v>10276294.944963355</v>
      </c>
    </row>
    <row r="36" spans="1:25" x14ac:dyDescent="0.25">
      <c r="A36" s="14"/>
      <c r="B36" s="118"/>
      <c r="C36" s="113"/>
      <c r="D36" s="113"/>
      <c r="E36" s="118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5"/>
      <c r="X36" s="176"/>
      <c r="Y36" s="177"/>
    </row>
    <row r="37" spans="1:25" x14ac:dyDescent="0.25">
      <c r="A37" s="11"/>
      <c r="B37" s="118"/>
      <c r="C37" s="105"/>
      <c r="D37" s="105"/>
      <c r="E37" s="11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90"/>
      <c r="Y37" s="179"/>
    </row>
    <row r="38" spans="1:25" x14ac:dyDescent="0.25">
      <c r="A38" s="13" t="s">
        <v>125</v>
      </c>
      <c r="B38" s="116"/>
      <c r="C38" s="115"/>
      <c r="D38" s="115"/>
      <c r="E38" s="116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90"/>
      <c r="Y38" s="179"/>
    </row>
    <row r="39" spans="1:25" x14ac:dyDescent="0.25">
      <c r="A39" s="20" t="s">
        <v>100</v>
      </c>
      <c r="B39" s="118"/>
      <c r="C39" s="111"/>
      <c r="D39" s="111"/>
      <c r="E39" s="118"/>
      <c r="F39" s="182"/>
      <c r="G39" s="182"/>
      <c r="H39" s="182"/>
      <c r="I39" s="182"/>
      <c r="J39" s="182"/>
      <c r="K39" s="182"/>
      <c r="L39" s="182">
        <f>+'Scenario 3 - Onshore Removal'!C4</f>
        <v>152.67025000000001</v>
      </c>
      <c r="M39" s="182">
        <f>+'Scenario 3 - Onshore Removal'!D4</f>
        <v>259.43932812499997</v>
      </c>
      <c r="N39" s="182">
        <f>+'Scenario 3 - Onshore Removal'!E4</f>
        <v>264.26100000000002</v>
      </c>
      <c r="O39" s="182">
        <f>+'Scenario 3 - Onshore Removal'!F4</f>
        <v>264.26100000000002</v>
      </c>
      <c r="P39" s="182">
        <f>+'Scenario 3 - Onshore Removal'!G4</f>
        <v>264.26100000000002</v>
      </c>
      <c r="Q39" s="182">
        <f>+'Scenario 3 - Onshore Removal'!H4</f>
        <v>228.79819531250001</v>
      </c>
      <c r="R39" s="182">
        <f>+'Scenario 3 - Onshore Removal'!I4</f>
        <v>178.08156249999999</v>
      </c>
      <c r="S39" s="182">
        <f>+'Scenario 3 - Onshore Removal'!J4</f>
        <v>146.58880468749999</v>
      </c>
      <c r="T39" s="182">
        <f>+'Scenario 3 - Onshore Removal'!K4</f>
        <v>124.891953125</v>
      </c>
      <c r="U39" s="182">
        <f>+'Scenario 3 - Onshore Removal'!L4</f>
        <v>106.49487109375001</v>
      </c>
      <c r="V39" s="182">
        <f>+'Scenario 3 - Onshore Removal'!M4</f>
        <v>92.668773437499993</v>
      </c>
      <c r="W39" s="182">
        <f>+'Scenario 3 - Onshore Removal'!N4</f>
        <v>82.336589843750005</v>
      </c>
      <c r="X39" s="181">
        <f>SUM(F39:W39)</f>
        <v>2164.7533281249998</v>
      </c>
      <c r="Y39" s="165">
        <f>AVERAGE(F39:W39)</f>
        <v>180.39611067708333</v>
      </c>
    </row>
    <row r="40" spans="1:25" x14ac:dyDescent="0.25">
      <c r="A40" s="20" t="s">
        <v>96</v>
      </c>
      <c r="B40" s="118"/>
      <c r="C40" s="124">
        <f>SUM(F40:W40)</f>
        <v>38045.028720535469</v>
      </c>
      <c r="D40" s="124"/>
      <c r="E40" s="118"/>
      <c r="F40" s="182"/>
      <c r="G40" s="182"/>
      <c r="H40" s="182"/>
      <c r="I40" s="182"/>
      <c r="J40" s="182"/>
      <c r="K40" s="182"/>
      <c r="L40" s="182">
        <f>+'Scenario 3 - Onshore Removal'!C16</f>
        <v>2674.9437053318129</v>
      </c>
      <c r="M40" s="182">
        <f>+'Scenario 3 - Onshore Removal'!D16</f>
        <v>4547.4253226790797</v>
      </c>
      <c r="N40" s="182">
        <f>+'Scenario 3 - Onshore Removal'!E16</f>
        <v>4636.6463363485746</v>
      </c>
      <c r="O40" s="182">
        <f>+'Scenario 3 - Onshore Removal'!F16</f>
        <v>4636.6463363485746</v>
      </c>
      <c r="P40" s="182">
        <f>+'Scenario 3 - Onshore Removal'!G16</f>
        <v>4636.6463363485746</v>
      </c>
      <c r="Q40" s="182">
        <f>+'Scenario 3 - Onshore Removal'!H16</f>
        <v>4042.5400455306622</v>
      </c>
      <c r="R40" s="182">
        <f>+'Scenario 3 - Onshore Removal'!I16</f>
        <v>3120.7747389392098</v>
      </c>
      <c r="S40" s="182">
        <f>+'Scenario 3 - Onshore Removal'!J16</f>
        <v>2585.9886549063267</v>
      </c>
      <c r="T40" s="182">
        <f>+'Scenario 3 - Onshore Removal'!K16</f>
        <v>2199.5325446976171</v>
      </c>
      <c r="U40" s="182">
        <f>+'Scenario 3 - Onshore Removal'!L16</f>
        <v>1872.5394484023511</v>
      </c>
      <c r="V40" s="182">
        <f>+'Scenario 3 - Onshore Removal'!M16</f>
        <v>1634.8209054517729</v>
      </c>
      <c r="W40" s="182">
        <f>+'Scenario 3 - Onshore Removal'!N16</f>
        <v>1456.5243455509146</v>
      </c>
      <c r="X40" s="181">
        <f t="shared" ref="X40:X45" si="12">SUM(F40:W40)</f>
        <v>38045.028720535469</v>
      </c>
      <c r="Y40" s="165">
        <f t="shared" ref="Y40:Y45" si="13">AVERAGE(F40:W40)</f>
        <v>3170.4190600446223</v>
      </c>
    </row>
    <row r="41" spans="1:25" x14ac:dyDescent="0.25">
      <c r="A41" s="20" t="s">
        <v>48</v>
      </c>
      <c r="B41" s="118"/>
      <c r="C41" s="124">
        <f>SUM(F41:W41)</f>
        <v>17548.755683415031</v>
      </c>
      <c r="D41" s="124"/>
      <c r="E41" s="118"/>
      <c r="F41" s="182"/>
      <c r="G41" s="182"/>
      <c r="H41" s="182"/>
      <c r="I41" s="182"/>
      <c r="J41" s="182"/>
      <c r="K41" s="182"/>
      <c r="L41" s="182">
        <f>+'Scenario 3 - Onshore Removal'!C43</f>
        <v>1233.8519677978109</v>
      </c>
      <c r="M41" s="182">
        <f>+'Scenario 3 - Onshore Removal'!D43</f>
        <v>2097.5580426673623</v>
      </c>
      <c r="N41" s="182">
        <f>+'Scenario 3 - Onshore Removal'!E43</f>
        <v>2138.7123753980254</v>
      </c>
      <c r="O41" s="182">
        <f>+'Scenario 3 - Onshore Removal'!F43</f>
        <v>2138.7123753980254</v>
      </c>
      <c r="P41" s="182">
        <f>+'Scenario 3 - Onshore Removal'!G43</f>
        <v>2138.7123753980254</v>
      </c>
      <c r="Q41" s="182">
        <f>+'Scenario 3 - Onshore Removal'!H43</f>
        <v>1864.6732565389584</v>
      </c>
      <c r="R41" s="182">
        <f>+'Scenario 3 - Onshore Removal'!I43</f>
        <v>1439.4972294253198</v>
      </c>
      <c r="S41" s="182">
        <f>+'Scenario 3 - Onshore Removal'!J43</f>
        <v>1192.82031401225</v>
      </c>
      <c r="T41" s="182">
        <f>+'Scenario 3 - Onshore Removal'!K43</f>
        <v>1014.5624945680249</v>
      </c>
      <c r="U41" s="182">
        <f>+'Scenario 3 - Onshore Removal'!L43</f>
        <v>863.73275018274467</v>
      </c>
      <c r="V41" s="182">
        <f>+'Scenario 3 - Onshore Removal'!M43</f>
        <v>754.08203438750706</v>
      </c>
      <c r="W41" s="182">
        <f>+'Scenario 3 - Onshore Removal'!N43</f>
        <v>671.84046764097775</v>
      </c>
      <c r="X41" s="181">
        <f t="shared" si="12"/>
        <v>17548.755683415031</v>
      </c>
      <c r="Y41" s="165">
        <f t="shared" si="13"/>
        <v>1462.3963069512527</v>
      </c>
    </row>
    <row r="42" spans="1:25" x14ac:dyDescent="0.25">
      <c r="A42" s="20" t="s">
        <v>105</v>
      </c>
      <c r="B42" s="118"/>
      <c r="C42" s="124">
        <f>SUM(F42:W42)</f>
        <v>69948</v>
      </c>
      <c r="D42" s="124"/>
      <c r="E42" s="118"/>
      <c r="F42" s="182"/>
      <c r="G42" s="182"/>
      <c r="H42" s="182"/>
      <c r="I42" s="182"/>
      <c r="J42" s="182"/>
      <c r="K42" s="182"/>
      <c r="L42" s="182">
        <f>+'Scenario 3 - Onshore Removal'!C49</f>
        <v>5829</v>
      </c>
      <c r="M42" s="182">
        <f>+'Scenario 3 - Onshore Removal'!D49</f>
        <v>5829</v>
      </c>
      <c r="N42" s="182">
        <f>+'Scenario 3 - Onshore Removal'!E49</f>
        <v>5829</v>
      </c>
      <c r="O42" s="182">
        <f>+'Scenario 3 - Onshore Removal'!F49</f>
        <v>5829</v>
      </c>
      <c r="P42" s="182">
        <f>+'Scenario 3 - Onshore Removal'!G49</f>
        <v>5829</v>
      </c>
      <c r="Q42" s="182">
        <f>+'Scenario 3 - Onshore Removal'!H49</f>
        <v>5829</v>
      </c>
      <c r="R42" s="182">
        <f>+'Scenario 3 - Onshore Removal'!I49</f>
        <v>5829</v>
      </c>
      <c r="S42" s="182">
        <f>+'Scenario 3 - Onshore Removal'!J49</f>
        <v>5829</v>
      </c>
      <c r="T42" s="182">
        <f>+'Scenario 3 - Onshore Removal'!K49</f>
        <v>5829</v>
      </c>
      <c r="U42" s="182">
        <f>+'Scenario 3 - Onshore Removal'!L49</f>
        <v>5829</v>
      </c>
      <c r="V42" s="182">
        <f>+'Scenario 3 - Onshore Removal'!M49</f>
        <v>5829</v>
      </c>
      <c r="W42" s="182">
        <f>+'Scenario 3 - Onshore Removal'!N49</f>
        <v>5829</v>
      </c>
      <c r="X42" s="181">
        <f t="shared" si="12"/>
        <v>69948</v>
      </c>
      <c r="Y42" s="165">
        <f t="shared" si="13"/>
        <v>5829</v>
      </c>
    </row>
    <row r="43" spans="1:25" x14ac:dyDescent="0.25">
      <c r="A43" s="20" t="s">
        <v>120</v>
      </c>
      <c r="B43" s="118"/>
      <c r="C43" s="124">
        <f>SUM(F43:W43)</f>
        <v>125541.78440395049</v>
      </c>
      <c r="D43" s="124"/>
      <c r="E43" s="118"/>
      <c r="F43" s="182"/>
      <c r="G43" s="182"/>
      <c r="H43" s="182"/>
      <c r="I43" s="182"/>
      <c r="J43" s="182"/>
      <c r="K43" s="182"/>
      <c r="L43" s="182">
        <f>+L40+L41+L42</f>
        <v>9737.7956731296235</v>
      </c>
      <c r="M43" s="182">
        <f t="shared" ref="M43:W43" si="14">+M40+M41+M42</f>
        <v>12473.983365346441</v>
      </c>
      <c r="N43" s="182">
        <f t="shared" si="14"/>
        <v>12604.3587117466</v>
      </c>
      <c r="O43" s="182">
        <f t="shared" si="14"/>
        <v>12604.3587117466</v>
      </c>
      <c r="P43" s="182">
        <f t="shared" si="14"/>
        <v>12604.3587117466</v>
      </c>
      <c r="Q43" s="182">
        <f t="shared" si="14"/>
        <v>11736.21330206962</v>
      </c>
      <c r="R43" s="182">
        <f t="shared" si="14"/>
        <v>10389.27196836453</v>
      </c>
      <c r="S43" s="182">
        <f t="shared" si="14"/>
        <v>9607.8089689185763</v>
      </c>
      <c r="T43" s="182">
        <f t="shared" si="14"/>
        <v>9043.0950392656414</v>
      </c>
      <c r="U43" s="182">
        <f t="shared" si="14"/>
        <v>8565.2721985850949</v>
      </c>
      <c r="V43" s="182">
        <f t="shared" si="14"/>
        <v>8217.9029398392795</v>
      </c>
      <c r="W43" s="182">
        <f t="shared" si="14"/>
        <v>7957.3648131918926</v>
      </c>
      <c r="X43" s="181">
        <f t="shared" si="12"/>
        <v>125541.78440395049</v>
      </c>
      <c r="Y43" s="165">
        <f t="shared" si="13"/>
        <v>10461.815366995874</v>
      </c>
    </row>
    <row r="44" spans="1:25" s="88" customFormat="1" x14ac:dyDescent="0.25">
      <c r="A44" s="20" t="s">
        <v>114</v>
      </c>
      <c r="B44" s="118"/>
      <c r="C44" s="124"/>
      <c r="D44" s="157">
        <f>NPV(0.1,F44:W44)</f>
        <v>121644131.92658898</v>
      </c>
      <c r="E44" s="118"/>
      <c r="F44" s="163">
        <v>0</v>
      </c>
      <c r="G44" s="163">
        <v>0</v>
      </c>
      <c r="H44" s="163">
        <v>0</v>
      </c>
      <c r="I44" s="163">
        <v>50000000</v>
      </c>
      <c r="J44" s="163">
        <v>50000000</v>
      </c>
      <c r="K44" s="163">
        <v>100000000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163">
        <v>0</v>
      </c>
      <c r="T44" s="163">
        <v>0</v>
      </c>
      <c r="U44" s="163">
        <v>0</v>
      </c>
      <c r="V44" s="163">
        <v>0</v>
      </c>
      <c r="W44" s="163">
        <v>0</v>
      </c>
      <c r="X44" s="181">
        <f>SUM(F44:W44)</f>
        <v>200000000</v>
      </c>
      <c r="Y44" s="165">
        <f>AVERAGE(F44:W44)</f>
        <v>11111111.111111112</v>
      </c>
    </row>
    <row r="45" spans="1:25" s="88" customFormat="1" x14ac:dyDescent="0.25">
      <c r="A45" s="20" t="s">
        <v>115</v>
      </c>
      <c r="B45" s="118"/>
      <c r="C45" s="124"/>
      <c r="D45" s="157">
        <f>NPV(0.1,F45:W45)</f>
        <v>299935.86744714907</v>
      </c>
      <c r="E45" s="118"/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f>+L43*L8</f>
        <v>54018.660026353122</v>
      </c>
      <c r="M45" s="163">
        <f t="shared" ref="M45:W45" si="15">+M43*M8</f>
        <v>71770.055066329864</v>
      </c>
      <c r="N45" s="163">
        <f t="shared" si="15"/>
        <v>75216.625036110505</v>
      </c>
      <c r="O45" s="163">
        <f t="shared" si="15"/>
        <v>78013.329293813222</v>
      </c>
      <c r="P45" s="163">
        <f t="shared" si="15"/>
        <v>80914.020598279865</v>
      </c>
      <c r="Q45" s="163">
        <f t="shared" si="15"/>
        <v>78142.264185189313</v>
      </c>
      <c r="R45" s="163">
        <f t="shared" si="15"/>
        <v>71746.064151009778</v>
      </c>
      <c r="S45" s="163">
        <f t="shared" si="15"/>
        <v>68816.454753940357</v>
      </c>
      <c r="T45" s="163">
        <f t="shared" si="15"/>
        <v>67180.000118733529</v>
      </c>
      <c r="U45" s="163">
        <f t="shared" si="15"/>
        <v>65996.217283229897</v>
      </c>
      <c r="V45" s="163">
        <f t="shared" si="15"/>
        <v>110923.37232354883</v>
      </c>
      <c r="W45" s="163">
        <f t="shared" si="15"/>
        <v>179056.71371129339</v>
      </c>
      <c r="X45" s="181">
        <f t="shared" si="12"/>
        <v>1001793.7765478317</v>
      </c>
      <c r="Y45" s="165">
        <f t="shared" si="13"/>
        <v>55655.209808212872</v>
      </c>
    </row>
    <row r="46" spans="1:25" x14ac:dyDescent="0.25">
      <c r="A46" s="17"/>
      <c r="B46" s="119"/>
      <c r="C46" s="114"/>
      <c r="D46" s="114"/>
      <c r="E46" s="119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2"/>
      <c r="Y46" s="188"/>
    </row>
    <row r="47" spans="1:25" ht="15.75" thickBot="1" x14ac:dyDescent="0.3">
      <c r="A47" s="74" t="s">
        <v>49</v>
      </c>
      <c r="B47" s="116"/>
      <c r="C47" s="122"/>
      <c r="D47" s="129">
        <f>NPV(0.1,F47:W47)</f>
        <v>121944067.79403612</v>
      </c>
      <c r="E47" s="116"/>
      <c r="F47" s="193">
        <f>+F45+F44</f>
        <v>0</v>
      </c>
      <c r="G47" s="193">
        <f t="shared" ref="G47:H47" si="16">+G45+G44</f>
        <v>0</v>
      </c>
      <c r="H47" s="193">
        <f t="shared" si="16"/>
        <v>0</v>
      </c>
      <c r="I47" s="193">
        <f t="shared" ref="I47:W47" si="17">+I45+I44</f>
        <v>50000000</v>
      </c>
      <c r="J47" s="193">
        <f t="shared" si="17"/>
        <v>50000000</v>
      </c>
      <c r="K47" s="193">
        <f t="shared" si="17"/>
        <v>100000000</v>
      </c>
      <c r="L47" s="193">
        <f t="shared" si="17"/>
        <v>54018.660026353122</v>
      </c>
      <c r="M47" s="193">
        <f t="shared" si="17"/>
        <v>71770.055066329864</v>
      </c>
      <c r="N47" s="193">
        <f t="shared" si="17"/>
        <v>75216.625036110505</v>
      </c>
      <c r="O47" s="193">
        <f t="shared" si="17"/>
        <v>78013.329293813222</v>
      </c>
      <c r="P47" s="193">
        <f t="shared" si="17"/>
        <v>80914.020598279865</v>
      </c>
      <c r="Q47" s="193">
        <f t="shared" si="17"/>
        <v>78142.264185189313</v>
      </c>
      <c r="R47" s="193">
        <f t="shared" si="17"/>
        <v>71746.064151009778</v>
      </c>
      <c r="S47" s="193">
        <f t="shared" si="17"/>
        <v>68816.454753940357</v>
      </c>
      <c r="T47" s="193">
        <f t="shared" si="17"/>
        <v>67180.000118733529</v>
      </c>
      <c r="U47" s="193">
        <f t="shared" si="17"/>
        <v>65996.217283229897</v>
      </c>
      <c r="V47" s="193">
        <f t="shared" si="17"/>
        <v>110923.37232354883</v>
      </c>
      <c r="W47" s="193">
        <f t="shared" si="17"/>
        <v>179056.71371129339</v>
      </c>
      <c r="X47" s="194">
        <f>SUM(F47:W47)</f>
        <v>201001793.77654782</v>
      </c>
      <c r="Y47" s="173">
        <f>AVERAGE(F47:W47)</f>
        <v>11166766.320919324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>
      <selection sqref="A1:P19"/>
    </sheetView>
  </sheetViews>
  <sheetFormatPr defaultRowHeight="15" x14ac:dyDescent="0.25"/>
  <cols>
    <col min="1" max="1" width="56.7109375" customWidth="1"/>
    <col min="2" max="2" width="5.42578125" style="12" customWidth="1"/>
    <col min="15" max="15" width="5.85546875" customWidth="1"/>
  </cols>
  <sheetData>
    <row r="1" spans="1:16" ht="18.75" x14ac:dyDescent="0.3">
      <c r="A1" s="7" t="s">
        <v>127</v>
      </c>
      <c r="C1" s="88"/>
      <c r="D1" s="88"/>
      <c r="E1" s="5"/>
      <c r="F1" s="5"/>
      <c r="G1" s="106"/>
      <c r="H1" s="106"/>
      <c r="I1" s="88"/>
      <c r="J1" s="88"/>
      <c r="K1" s="88"/>
      <c r="L1" s="88"/>
      <c r="M1" s="88"/>
      <c r="N1" s="88"/>
      <c r="O1" s="88"/>
      <c r="P1" s="88"/>
    </row>
    <row r="2" spans="1:16" x14ac:dyDescent="0.25">
      <c r="A2" s="88"/>
      <c r="C2" s="88"/>
      <c r="D2" s="88"/>
      <c r="E2" s="5"/>
      <c r="F2" s="5"/>
      <c r="G2" s="106"/>
      <c r="H2" s="106"/>
      <c r="I2" s="88"/>
      <c r="J2" s="88"/>
      <c r="K2" s="88"/>
      <c r="L2" s="88"/>
      <c r="M2" s="88"/>
      <c r="N2" s="88"/>
      <c r="O2" s="88"/>
      <c r="P2" s="88"/>
    </row>
    <row r="3" spans="1:16" x14ac:dyDescent="0.25">
      <c r="A3" s="2" t="s">
        <v>10</v>
      </c>
      <c r="B3" s="234"/>
      <c r="C3" s="101">
        <v>2021</v>
      </c>
      <c r="D3" s="101">
        <f>C3+1</f>
        <v>2022</v>
      </c>
      <c r="E3" s="101">
        <f t="shared" ref="E3:N3" si="0">D3+1</f>
        <v>2023</v>
      </c>
      <c r="F3" s="101">
        <f t="shared" si="0"/>
        <v>2024</v>
      </c>
      <c r="G3" s="101">
        <f t="shared" si="0"/>
        <v>2025</v>
      </c>
      <c r="H3" s="101">
        <f t="shared" si="0"/>
        <v>2026</v>
      </c>
      <c r="I3" s="101">
        <f t="shared" si="0"/>
        <v>2027</v>
      </c>
      <c r="J3" s="101">
        <f t="shared" si="0"/>
        <v>2028</v>
      </c>
      <c r="K3" s="101">
        <f t="shared" si="0"/>
        <v>2029</v>
      </c>
      <c r="L3" s="101">
        <f t="shared" si="0"/>
        <v>2030</v>
      </c>
      <c r="M3" s="101">
        <f t="shared" si="0"/>
        <v>2031</v>
      </c>
      <c r="N3" s="101">
        <f t="shared" si="0"/>
        <v>2032</v>
      </c>
      <c r="O3" s="88"/>
      <c r="P3" s="88"/>
    </row>
    <row r="4" spans="1:16" x14ac:dyDescent="0.25">
      <c r="A4" s="1" t="s">
        <v>11</v>
      </c>
      <c r="B4" s="235"/>
      <c r="C4" s="91">
        <v>152.67025000000001</v>
      </c>
      <c r="D4" s="91">
        <v>259.43932812499997</v>
      </c>
      <c r="E4" s="91">
        <v>264.26100000000002</v>
      </c>
      <c r="F4" s="91">
        <v>264.26100000000002</v>
      </c>
      <c r="G4" s="91">
        <v>264.26100000000002</v>
      </c>
      <c r="H4" s="91">
        <v>228.79819531250001</v>
      </c>
      <c r="I4" s="91">
        <v>178.08156249999999</v>
      </c>
      <c r="J4" s="91">
        <v>146.58880468749999</v>
      </c>
      <c r="K4" s="91">
        <v>124.891953125</v>
      </c>
      <c r="L4" s="91">
        <v>106.49487109375001</v>
      </c>
      <c r="M4" s="91">
        <v>92.668773437499993</v>
      </c>
      <c r="N4" s="91">
        <v>82.336589843750005</v>
      </c>
      <c r="O4" s="88"/>
      <c r="P4" s="88"/>
    </row>
    <row r="5" spans="1:16" ht="17.25" x14ac:dyDescent="0.25">
      <c r="A5" s="1" t="s">
        <v>12</v>
      </c>
      <c r="B5" s="236"/>
      <c r="C5" s="95">
        <f t="shared" ref="C5:N5" si="1">(C4/24*1000000)/1000*0.028316847</f>
        <v>180.13083794590625</v>
      </c>
      <c r="D5" s="95">
        <f t="shared" si="1"/>
        <v>306.10432334576751</v>
      </c>
      <c r="E5" s="95">
        <f t="shared" si="1"/>
        <v>311.79326271112501</v>
      </c>
      <c r="F5" s="95">
        <f t="shared" si="1"/>
        <v>311.79326271112501</v>
      </c>
      <c r="G5" s="95">
        <f t="shared" si="1"/>
        <v>311.79326271112501</v>
      </c>
      <c r="H5" s="95">
        <f t="shared" si="1"/>
        <v>269.95181210584082</v>
      </c>
      <c r="I5" s="95">
        <f t="shared" si="1"/>
        <v>210.11284828472657</v>
      </c>
      <c r="J5" s="95">
        <f t="shared" si="1"/>
        <v>172.95553142703415</v>
      </c>
      <c r="K5" s="95">
        <f t="shared" si="1"/>
        <v>147.35609700715818</v>
      </c>
      <c r="L5" s="95">
        <f t="shared" si="1"/>
        <v>125.64995712693506</v>
      </c>
      <c r="M5" s="95">
        <f t="shared" si="1"/>
        <v>109.33697829613963</v>
      </c>
      <c r="N5" s="95">
        <f t="shared" si="1"/>
        <v>97.146359046134279</v>
      </c>
      <c r="O5" s="88"/>
      <c r="P5" s="88"/>
    </row>
    <row r="6" spans="1:16" x14ac:dyDescent="0.25">
      <c r="A6" s="1"/>
      <c r="B6" s="237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8"/>
      <c r="P6" s="88"/>
    </row>
    <row r="7" spans="1:16" s="88" customFormat="1" x14ac:dyDescent="0.25">
      <c r="A7" s="2" t="s">
        <v>129</v>
      </c>
      <c r="B7" s="23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6" x14ac:dyDescent="0.25">
      <c r="A8" s="1" t="s">
        <v>13</v>
      </c>
      <c r="B8" s="237"/>
      <c r="C8" s="97">
        <v>0.04</v>
      </c>
      <c r="D8" s="97">
        <v>0.04</v>
      </c>
      <c r="E8" s="97">
        <v>0.04</v>
      </c>
      <c r="F8" s="97">
        <v>0.04</v>
      </c>
      <c r="G8" s="97">
        <v>0.04</v>
      </c>
      <c r="H8" s="97">
        <v>0.04</v>
      </c>
      <c r="I8" s="97">
        <v>0.04</v>
      </c>
      <c r="J8" s="97">
        <v>0.04</v>
      </c>
      <c r="K8" s="97">
        <v>0.04</v>
      </c>
      <c r="L8" s="97">
        <v>0.04</v>
      </c>
      <c r="M8" s="97">
        <v>0.04</v>
      </c>
      <c r="N8" s="97">
        <v>0.04</v>
      </c>
      <c r="O8" s="88"/>
      <c r="P8" s="88"/>
    </row>
    <row r="9" spans="1:16" x14ac:dyDescent="0.25">
      <c r="A9" s="1" t="s">
        <v>14</v>
      </c>
      <c r="B9" s="238"/>
      <c r="C9" s="97">
        <v>2.8897340598113899E-2</v>
      </c>
      <c r="D9" s="97">
        <v>2.8893005620590499E-2</v>
      </c>
      <c r="E9" s="97">
        <v>2.8881718025212999E-2</v>
      </c>
      <c r="F9" s="97">
        <v>2.8881718025212999E-2</v>
      </c>
      <c r="G9" s="97">
        <v>2.8881718025212999E-2</v>
      </c>
      <c r="H9" s="97">
        <v>2.8803854766607899E-2</v>
      </c>
      <c r="I9" s="97">
        <v>2.88952125193386E-2</v>
      </c>
      <c r="J9" s="97">
        <v>2.8821266598573501E-2</v>
      </c>
      <c r="K9" s="97">
        <v>2.8840037838923901E-2</v>
      </c>
      <c r="L9" s="97">
        <v>2.8857848207557001E-2</v>
      </c>
      <c r="M9" s="97">
        <v>2.8820984582097298E-2</v>
      </c>
      <c r="N9" s="97">
        <v>2.87903601475651E-2</v>
      </c>
      <c r="O9" s="88"/>
      <c r="P9" s="88"/>
    </row>
    <row r="10" spans="1:16" x14ac:dyDescent="0.25">
      <c r="A10" s="1" t="s">
        <v>15</v>
      </c>
      <c r="B10" s="237"/>
      <c r="C10" s="95">
        <f t="shared" ref="C10:N10" si="2">(C11*24/1000000)*1000/0.028316847</f>
        <v>43.686747076051596</v>
      </c>
      <c r="D10" s="95">
        <f t="shared" si="2"/>
        <v>74.267813383560636</v>
      </c>
      <c r="E10" s="95">
        <f t="shared" si="2"/>
        <v>75.724956519051233</v>
      </c>
      <c r="F10" s="95">
        <f t="shared" si="2"/>
        <v>75.724956519051233</v>
      </c>
      <c r="G10" s="95">
        <f t="shared" si="2"/>
        <v>75.724956519051233</v>
      </c>
      <c r="H10" s="95">
        <f t="shared" si="2"/>
        <v>66.022108862287681</v>
      </c>
      <c r="I10" s="95">
        <f t="shared" si="2"/>
        <v>50.967987262541783</v>
      </c>
      <c r="J10" s="95">
        <f t="shared" si="2"/>
        <v>42.233947609158285</v>
      </c>
      <c r="K10" s="95">
        <f t="shared" si="2"/>
        <v>35.922409048914687</v>
      </c>
      <c r="L10" s="95">
        <f t="shared" si="2"/>
        <v>30.582010794928166</v>
      </c>
      <c r="M10" s="95">
        <f t="shared" si="2"/>
        <v>26.699630077730543</v>
      </c>
      <c r="N10" s="95">
        <f t="shared" si="2"/>
        <v>23.787719557373372</v>
      </c>
      <c r="O10" s="88"/>
      <c r="P10" s="88"/>
    </row>
    <row r="11" spans="1:16" ht="17.25" x14ac:dyDescent="0.25">
      <c r="A11" s="1" t="s">
        <v>16</v>
      </c>
      <c r="B11" s="237"/>
      <c r="C11" s="95">
        <f t="shared" ref="C11:N11" si="3">((1-(C9/C8))*C5)/C13</f>
        <v>51.544622203343756</v>
      </c>
      <c r="D11" s="95">
        <f t="shared" si="3"/>
        <v>87.626262858618261</v>
      </c>
      <c r="E11" s="95">
        <f t="shared" si="3"/>
        <v>89.345500326317776</v>
      </c>
      <c r="F11" s="95">
        <f t="shared" si="3"/>
        <v>89.345500326317776</v>
      </c>
      <c r="G11" s="95">
        <f t="shared" si="3"/>
        <v>89.345500326317776</v>
      </c>
      <c r="H11" s="95">
        <f t="shared" si="3"/>
        <v>77.897414802947665</v>
      </c>
      <c r="I11" s="95">
        <f t="shared" si="3"/>
        <v>60.135529050472684</v>
      </c>
      <c r="J11" s="95">
        <f t="shared" si="3"/>
        <v>49.830509693939625</v>
      </c>
      <c r="K11" s="95">
        <f t="shared" si="3"/>
        <v>42.383723371230531</v>
      </c>
      <c r="L11" s="95">
        <f t="shared" si="3"/>
        <v>36.082755026347051</v>
      </c>
      <c r="M11" s="95">
        <f t="shared" si="3"/>
        <v>31.502055827820573</v>
      </c>
      <c r="N11" s="95">
        <f t="shared" si="3"/>
        <v>28.066383966043727</v>
      </c>
      <c r="O11" s="88"/>
      <c r="P11" s="88"/>
    </row>
    <row r="12" spans="1:16" x14ac:dyDescent="0.25">
      <c r="A12" s="1" t="s">
        <v>17</v>
      </c>
      <c r="B12" s="237"/>
      <c r="C12" s="91">
        <f>0.00124858650930531*1000000</f>
        <v>1248.5865093053101</v>
      </c>
      <c r="D12" s="91">
        <f>0.00124858650930531*1000000</f>
        <v>1248.5865093053101</v>
      </c>
      <c r="E12" s="91">
        <f>0.00124858650930531*1000000</f>
        <v>1248.5865093053101</v>
      </c>
      <c r="F12" s="91">
        <f t="shared" ref="F12:N12" si="4">0.00124858650930531*1000000</f>
        <v>1248.5865093053101</v>
      </c>
      <c r="G12" s="91">
        <f t="shared" si="4"/>
        <v>1248.5865093053101</v>
      </c>
      <c r="H12" s="91">
        <f>0.00124858650930531*1000000</f>
        <v>1248.5865093053101</v>
      </c>
      <c r="I12" s="91">
        <f>0.00124858650930531*1000000</f>
        <v>1248.5865093053101</v>
      </c>
      <c r="J12" s="91">
        <f>0.00124858650930531*1000000</f>
        <v>1248.5865093053101</v>
      </c>
      <c r="K12" s="91">
        <f t="shared" si="4"/>
        <v>1248.5865093053101</v>
      </c>
      <c r="L12" s="91">
        <f>0.00124858650930531*1000000</f>
        <v>1248.5865093053101</v>
      </c>
      <c r="M12" s="91">
        <f>0.00124858650930531*1000000</f>
        <v>1248.5865093053101</v>
      </c>
      <c r="N12" s="91">
        <f t="shared" si="4"/>
        <v>1248.5865093053101</v>
      </c>
      <c r="O12" s="102"/>
      <c r="P12" s="88"/>
    </row>
    <row r="13" spans="1:16" x14ac:dyDescent="0.25">
      <c r="A13" s="1" t="s">
        <v>33</v>
      </c>
      <c r="B13" s="239"/>
      <c r="C13" s="92">
        <v>0.97</v>
      </c>
      <c r="D13" s="92">
        <v>0.97</v>
      </c>
      <c r="E13" s="92">
        <v>0.97</v>
      </c>
      <c r="F13" s="92">
        <v>0.97</v>
      </c>
      <c r="G13" s="92">
        <v>0.97</v>
      </c>
      <c r="H13" s="92">
        <v>0.97</v>
      </c>
      <c r="I13" s="92">
        <v>0.97</v>
      </c>
      <c r="J13" s="92">
        <v>0.97</v>
      </c>
      <c r="K13" s="92">
        <v>0.97</v>
      </c>
      <c r="L13" s="92">
        <v>0.97</v>
      </c>
      <c r="M13" s="92">
        <v>0.97</v>
      </c>
      <c r="N13" s="92">
        <v>0.97</v>
      </c>
      <c r="O13" s="88"/>
      <c r="P13" s="88"/>
    </row>
    <row r="14" spans="1:16" x14ac:dyDescent="0.25">
      <c r="A14" s="1" t="s">
        <v>18</v>
      </c>
      <c r="B14" s="240"/>
      <c r="C14" s="96">
        <f t="shared" ref="C14:N14" si="5">C11*1000*101.325*C8*C13*C16/(8.3145*288.71)</f>
        <v>3715.1995907386295</v>
      </c>
      <c r="D14" s="96">
        <f t="shared" si="5"/>
        <v>6315.8685037209443</v>
      </c>
      <c r="E14" s="96">
        <f t="shared" si="5"/>
        <v>6439.7865782619092</v>
      </c>
      <c r="F14" s="96">
        <f t="shared" si="5"/>
        <v>6439.7865782619092</v>
      </c>
      <c r="G14" s="96">
        <f t="shared" si="5"/>
        <v>6439.7865782619092</v>
      </c>
      <c r="H14" s="96">
        <f t="shared" si="5"/>
        <v>5614.6389521259198</v>
      </c>
      <c r="I14" s="96">
        <f t="shared" si="5"/>
        <v>4334.4093596377916</v>
      </c>
      <c r="J14" s="96">
        <f t="shared" si="5"/>
        <v>3591.6509095921206</v>
      </c>
      <c r="K14" s="96">
        <f t="shared" si="5"/>
        <v>3054.9063120800233</v>
      </c>
      <c r="L14" s="96">
        <f t="shared" si="5"/>
        <v>2600.7492338921543</v>
      </c>
      <c r="M14" s="96">
        <f t="shared" si="5"/>
        <v>2270.58459090524</v>
      </c>
      <c r="N14" s="96">
        <f t="shared" si="5"/>
        <v>2022.9504799318258</v>
      </c>
      <c r="O14" s="88"/>
      <c r="P14" s="88"/>
    </row>
    <row r="15" spans="1:16" x14ac:dyDescent="0.25">
      <c r="A15" s="1" t="s">
        <v>128</v>
      </c>
      <c r="B15" s="240"/>
      <c r="C15" s="96">
        <f>C14*30*24/1000</f>
        <v>2674.9437053318129</v>
      </c>
      <c r="D15" s="96">
        <f t="shared" ref="D15:N15" si="6">D14*30*24/1000</f>
        <v>4547.4253226790797</v>
      </c>
      <c r="E15" s="96">
        <f t="shared" si="6"/>
        <v>4636.6463363485746</v>
      </c>
      <c r="F15" s="96">
        <f t="shared" si="6"/>
        <v>4636.6463363485746</v>
      </c>
      <c r="G15" s="96">
        <f t="shared" si="6"/>
        <v>4636.6463363485746</v>
      </c>
      <c r="H15" s="96">
        <f t="shared" si="6"/>
        <v>4042.5400455306622</v>
      </c>
      <c r="I15" s="96">
        <f t="shared" si="6"/>
        <v>3120.7747389392098</v>
      </c>
      <c r="J15" s="96">
        <f t="shared" si="6"/>
        <v>2585.9886549063267</v>
      </c>
      <c r="K15" s="96">
        <f t="shared" si="6"/>
        <v>2199.5325446976171</v>
      </c>
      <c r="L15" s="96">
        <f t="shared" si="6"/>
        <v>1872.5394484023511</v>
      </c>
      <c r="M15" s="96">
        <f t="shared" si="6"/>
        <v>1634.8209054517729</v>
      </c>
      <c r="N15" s="96">
        <f t="shared" si="6"/>
        <v>1456.5243455509146</v>
      </c>
      <c r="O15" s="88"/>
      <c r="P15" s="88"/>
    </row>
    <row r="16" spans="1:16" x14ac:dyDescent="0.25">
      <c r="A16" s="1" t="s">
        <v>20</v>
      </c>
      <c r="B16" s="237"/>
      <c r="C16" s="90">
        <v>44.009700775146499</v>
      </c>
      <c r="D16" s="90">
        <v>44.009700775146499</v>
      </c>
      <c r="E16" s="90">
        <v>44.009700775146499</v>
      </c>
      <c r="F16" s="90">
        <v>44.009700775146499</v>
      </c>
      <c r="G16" s="90">
        <v>44.009700775146499</v>
      </c>
      <c r="H16" s="90">
        <v>44.009700775146499</v>
      </c>
      <c r="I16" s="90">
        <v>44.009700775146499</v>
      </c>
      <c r="J16" s="90">
        <v>44.009700775146499</v>
      </c>
      <c r="K16" s="90">
        <v>44.009700775146499</v>
      </c>
      <c r="L16" s="90">
        <v>44.009700775146499</v>
      </c>
      <c r="M16" s="90">
        <v>44.009700775146499</v>
      </c>
      <c r="N16" s="90">
        <v>44.009700775146499</v>
      </c>
      <c r="O16" s="88"/>
      <c r="P16" s="88"/>
    </row>
    <row r="17" spans="1:16" ht="15.75" customHeight="1" x14ac:dyDescent="0.25">
      <c r="A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3" t="s">
        <v>97</v>
      </c>
    </row>
    <row r="18" spans="1:16" x14ac:dyDescent="0.25">
      <c r="A18" s="1" t="s">
        <v>130</v>
      </c>
      <c r="B18" s="240"/>
      <c r="C18" s="96">
        <f>C15</f>
        <v>2674.9437053318129</v>
      </c>
      <c r="D18" s="96">
        <f t="shared" ref="D18:N18" si="7">D15</f>
        <v>4547.4253226790797</v>
      </c>
      <c r="E18" s="96">
        <f t="shared" si="7"/>
        <v>4636.6463363485746</v>
      </c>
      <c r="F18" s="96">
        <f t="shared" si="7"/>
        <v>4636.6463363485746</v>
      </c>
      <c r="G18" s="96">
        <f t="shared" si="7"/>
        <v>4636.6463363485746</v>
      </c>
      <c r="H18" s="96">
        <f t="shared" si="7"/>
        <v>4042.5400455306622</v>
      </c>
      <c r="I18" s="96">
        <f t="shared" si="7"/>
        <v>3120.7747389392098</v>
      </c>
      <c r="J18" s="96">
        <f t="shared" si="7"/>
        <v>2585.9886549063267</v>
      </c>
      <c r="K18" s="96">
        <f t="shared" si="7"/>
        <v>2199.5325446976171</v>
      </c>
      <c r="L18" s="96">
        <f t="shared" si="7"/>
        <v>1872.5394484023511</v>
      </c>
      <c r="M18" s="96">
        <f t="shared" si="7"/>
        <v>1634.8209054517729</v>
      </c>
      <c r="N18" s="96">
        <f t="shared" si="7"/>
        <v>1456.5243455509146</v>
      </c>
      <c r="O18" s="88"/>
      <c r="P18" s="4">
        <f>SUM(C18:N18)</f>
        <v>38045.028720535469</v>
      </c>
    </row>
    <row r="19" spans="1:16" x14ac:dyDescent="0.25">
      <c r="A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A31" workbookViewId="0">
      <selection sqref="A1:P46"/>
    </sheetView>
  </sheetViews>
  <sheetFormatPr defaultRowHeight="15" x14ac:dyDescent="0.25"/>
  <cols>
    <col min="1" max="1" width="58" customWidth="1"/>
    <col min="2" max="2" width="6" style="12" customWidth="1"/>
    <col min="16" max="16" width="12.42578125" customWidth="1"/>
  </cols>
  <sheetData>
    <row r="1" spans="1:16" ht="18.75" x14ac:dyDescent="0.3">
      <c r="A1" s="7" t="s">
        <v>139</v>
      </c>
      <c r="C1" s="88"/>
      <c r="D1" s="88"/>
      <c r="E1" s="5"/>
      <c r="F1" s="5"/>
      <c r="G1" s="106"/>
      <c r="H1" s="106"/>
      <c r="I1" s="88"/>
      <c r="J1" s="88"/>
      <c r="K1" s="88"/>
      <c r="L1" s="88"/>
      <c r="M1" s="88"/>
      <c r="N1" s="88"/>
      <c r="O1" s="88"/>
      <c r="P1" s="88"/>
    </row>
    <row r="2" spans="1:16" x14ac:dyDescent="0.25">
      <c r="A2" s="88"/>
      <c r="C2" s="88"/>
      <c r="D2" s="88"/>
      <c r="E2" s="5"/>
      <c r="F2" s="5"/>
      <c r="G2" s="106"/>
      <c r="H2" s="106"/>
      <c r="I2" s="88"/>
      <c r="J2" s="88"/>
      <c r="K2" s="88"/>
      <c r="L2" s="88"/>
      <c r="M2" s="88"/>
      <c r="N2" s="88"/>
      <c r="O2" s="88"/>
      <c r="P2" s="88"/>
    </row>
    <row r="3" spans="1:16" x14ac:dyDescent="0.25">
      <c r="A3" s="2" t="s">
        <v>10</v>
      </c>
      <c r="B3" s="234"/>
      <c r="C3" s="101">
        <v>2021</v>
      </c>
      <c r="D3" s="101">
        <f>C3+1</f>
        <v>2022</v>
      </c>
      <c r="E3" s="101">
        <f t="shared" ref="E3:N3" si="0">D3+1</f>
        <v>2023</v>
      </c>
      <c r="F3" s="101">
        <f t="shared" si="0"/>
        <v>2024</v>
      </c>
      <c r="G3" s="101">
        <f t="shared" si="0"/>
        <v>2025</v>
      </c>
      <c r="H3" s="101">
        <f t="shared" si="0"/>
        <v>2026</v>
      </c>
      <c r="I3" s="101">
        <f t="shared" si="0"/>
        <v>2027</v>
      </c>
      <c r="J3" s="101">
        <f t="shared" si="0"/>
        <v>2028</v>
      </c>
      <c r="K3" s="101">
        <f t="shared" si="0"/>
        <v>2029</v>
      </c>
      <c r="L3" s="101">
        <f t="shared" si="0"/>
        <v>2030</v>
      </c>
      <c r="M3" s="101">
        <f t="shared" si="0"/>
        <v>2031</v>
      </c>
      <c r="N3" s="101">
        <f t="shared" si="0"/>
        <v>2032</v>
      </c>
      <c r="O3" s="88"/>
      <c r="P3" s="88"/>
    </row>
    <row r="4" spans="1:16" x14ac:dyDescent="0.25">
      <c r="A4" s="1" t="s">
        <v>11</v>
      </c>
      <c r="B4" s="235"/>
      <c r="C4" s="91">
        <v>152.67025000000001</v>
      </c>
      <c r="D4" s="91">
        <v>259.43932812499997</v>
      </c>
      <c r="E4" s="91">
        <v>264.26100000000002</v>
      </c>
      <c r="F4" s="91">
        <v>264.26100000000002</v>
      </c>
      <c r="G4" s="91">
        <v>264.26100000000002</v>
      </c>
      <c r="H4" s="91">
        <v>228.79819531250001</v>
      </c>
      <c r="I4" s="91">
        <v>178.08156249999999</v>
      </c>
      <c r="J4" s="91">
        <v>146.58880468749999</v>
      </c>
      <c r="K4" s="91">
        <v>124.891953125</v>
      </c>
      <c r="L4" s="91">
        <v>106.49487109375001</v>
      </c>
      <c r="M4" s="91">
        <v>92.668773437499993</v>
      </c>
      <c r="N4" s="91">
        <v>82.336589843750005</v>
      </c>
      <c r="O4" s="88"/>
      <c r="P4" s="88"/>
    </row>
    <row r="5" spans="1:16" ht="17.25" x14ac:dyDescent="0.25">
      <c r="A5" s="1" t="s">
        <v>12</v>
      </c>
      <c r="B5" s="236"/>
      <c r="C5" s="95">
        <f t="shared" ref="C5:N5" si="1">(C4/24*1000000)/1000*0.028316847</f>
        <v>180.13083794590625</v>
      </c>
      <c r="D5" s="95">
        <f t="shared" si="1"/>
        <v>306.10432334576751</v>
      </c>
      <c r="E5" s="95">
        <f t="shared" si="1"/>
        <v>311.79326271112501</v>
      </c>
      <c r="F5" s="95">
        <f t="shared" si="1"/>
        <v>311.79326271112501</v>
      </c>
      <c r="G5" s="95">
        <f t="shared" si="1"/>
        <v>311.79326271112501</v>
      </c>
      <c r="H5" s="95">
        <f t="shared" si="1"/>
        <v>269.95181210584082</v>
      </c>
      <c r="I5" s="95">
        <f t="shared" si="1"/>
        <v>210.11284828472657</v>
      </c>
      <c r="J5" s="95">
        <f t="shared" si="1"/>
        <v>172.95553142703415</v>
      </c>
      <c r="K5" s="95">
        <f t="shared" si="1"/>
        <v>147.35609700715818</v>
      </c>
      <c r="L5" s="95">
        <f t="shared" si="1"/>
        <v>125.64995712693506</v>
      </c>
      <c r="M5" s="95">
        <f t="shared" si="1"/>
        <v>109.33697829613963</v>
      </c>
      <c r="N5" s="95">
        <f t="shared" si="1"/>
        <v>97.146359046134279</v>
      </c>
      <c r="O5" s="88"/>
      <c r="P5" s="88"/>
    </row>
    <row r="6" spans="1:16" x14ac:dyDescent="0.25">
      <c r="A6" s="1"/>
      <c r="B6" s="237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8"/>
      <c r="P6" s="88"/>
    </row>
    <row r="7" spans="1:16" x14ac:dyDescent="0.25">
      <c r="A7" s="1" t="s">
        <v>13</v>
      </c>
      <c r="B7" s="237"/>
      <c r="C7" s="97">
        <v>0.04</v>
      </c>
      <c r="D7" s="97">
        <v>0.04</v>
      </c>
      <c r="E7" s="97">
        <v>0.04</v>
      </c>
      <c r="F7" s="97">
        <v>0.04</v>
      </c>
      <c r="G7" s="97">
        <v>0.04</v>
      </c>
      <c r="H7" s="97">
        <v>0.04</v>
      </c>
      <c r="I7" s="97">
        <v>0.04</v>
      </c>
      <c r="J7" s="97">
        <v>0.04</v>
      </c>
      <c r="K7" s="97">
        <v>0.04</v>
      </c>
      <c r="L7" s="97">
        <v>0.04</v>
      </c>
      <c r="M7" s="97">
        <v>0.04</v>
      </c>
      <c r="N7" s="97">
        <v>0.04</v>
      </c>
      <c r="O7" s="88"/>
      <c r="P7" s="88"/>
    </row>
    <row r="8" spans="1:16" x14ac:dyDescent="0.25">
      <c r="A8" s="1" t="s">
        <v>14</v>
      </c>
      <c r="B8" s="238"/>
      <c r="C8" s="97">
        <v>2.8897340598113899E-2</v>
      </c>
      <c r="D8" s="97">
        <v>2.8893005620590499E-2</v>
      </c>
      <c r="E8" s="97">
        <v>2.8881718025212999E-2</v>
      </c>
      <c r="F8" s="97">
        <v>2.8881718025212999E-2</v>
      </c>
      <c r="G8" s="97">
        <v>2.8881718025212999E-2</v>
      </c>
      <c r="H8" s="97">
        <v>2.8803854766607899E-2</v>
      </c>
      <c r="I8" s="97">
        <v>2.88952125193386E-2</v>
      </c>
      <c r="J8" s="97">
        <v>2.8821266598573501E-2</v>
      </c>
      <c r="K8" s="97">
        <v>2.8840037838923901E-2</v>
      </c>
      <c r="L8" s="97">
        <v>2.8857848207557001E-2</v>
      </c>
      <c r="M8" s="97">
        <v>2.8820984582097298E-2</v>
      </c>
      <c r="N8" s="97">
        <v>2.87903601475651E-2</v>
      </c>
      <c r="O8" s="88"/>
      <c r="P8" s="88"/>
    </row>
    <row r="9" spans="1:16" x14ac:dyDescent="0.25">
      <c r="A9" s="1"/>
      <c r="B9" s="23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8"/>
      <c r="P9" s="88"/>
    </row>
    <row r="10" spans="1:16" s="88" customFormat="1" x14ac:dyDescent="0.25">
      <c r="A10" s="2" t="s">
        <v>131</v>
      </c>
      <c r="B10" s="23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6" x14ac:dyDescent="0.25">
      <c r="A11" s="1" t="s">
        <v>15</v>
      </c>
      <c r="B11" s="237"/>
      <c r="C11" s="95">
        <f t="shared" ref="C11:N11" si="2">(C12*24/1000000)*1000/0.028316847</f>
        <v>43.686747076051596</v>
      </c>
      <c r="D11" s="95">
        <f t="shared" si="2"/>
        <v>74.267813383560636</v>
      </c>
      <c r="E11" s="95">
        <f t="shared" si="2"/>
        <v>75.724956519051233</v>
      </c>
      <c r="F11" s="95">
        <f t="shared" si="2"/>
        <v>75.724956519051233</v>
      </c>
      <c r="G11" s="95">
        <f t="shared" si="2"/>
        <v>75.724956519051233</v>
      </c>
      <c r="H11" s="95">
        <f t="shared" si="2"/>
        <v>66.022108862287681</v>
      </c>
      <c r="I11" s="95">
        <f t="shared" si="2"/>
        <v>50.967987262541783</v>
      </c>
      <c r="J11" s="95">
        <f t="shared" si="2"/>
        <v>42.233947609158285</v>
      </c>
      <c r="K11" s="95">
        <f t="shared" si="2"/>
        <v>35.922409048914687</v>
      </c>
      <c r="L11" s="95">
        <f t="shared" si="2"/>
        <v>30.582010794928166</v>
      </c>
      <c r="M11" s="95">
        <f t="shared" si="2"/>
        <v>26.699630077730543</v>
      </c>
      <c r="N11" s="95">
        <f t="shared" si="2"/>
        <v>23.787719557373372</v>
      </c>
      <c r="O11" s="88"/>
      <c r="P11" s="88"/>
    </row>
    <row r="12" spans="1:16" ht="17.25" x14ac:dyDescent="0.25">
      <c r="A12" s="1" t="s">
        <v>16</v>
      </c>
      <c r="B12" s="237"/>
      <c r="C12" s="95">
        <f t="shared" ref="C12:N12" si="3">((1-(C8/C7))*C5)/C14</f>
        <v>51.544622203343756</v>
      </c>
      <c r="D12" s="95">
        <f t="shared" si="3"/>
        <v>87.626262858618261</v>
      </c>
      <c r="E12" s="95">
        <f t="shared" si="3"/>
        <v>89.345500326317776</v>
      </c>
      <c r="F12" s="95">
        <f t="shared" si="3"/>
        <v>89.345500326317776</v>
      </c>
      <c r="G12" s="95">
        <f t="shared" si="3"/>
        <v>89.345500326317776</v>
      </c>
      <c r="H12" s="95">
        <f t="shared" si="3"/>
        <v>77.897414802947665</v>
      </c>
      <c r="I12" s="95">
        <f t="shared" si="3"/>
        <v>60.135529050472684</v>
      </c>
      <c r="J12" s="95">
        <f t="shared" si="3"/>
        <v>49.830509693939625</v>
      </c>
      <c r="K12" s="95">
        <f t="shared" si="3"/>
        <v>42.383723371230531</v>
      </c>
      <c r="L12" s="95">
        <f t="shared" si="3"/>
        <v>36.082755026347051</v>
      </c>
      <c r="M12" s="95">
        <f t="shared" si="3"/>
        <v>31.502055827820573</v>
      </c>
      <c r="N12" s="95">
        <f t="shared" si="3"/>
        <v>28.066383966043727</v>
      </c>
      <c r="O12" s="88"/>
      <c r="P12" s="88"/>
    </row>
    <row r="13" spans="1:16" x14ac:dyDescent="0.25">
      <c r="A13" s="1" t="s">
        <v>17</v>
      </c>
      <c r="B13" s="237"/>
      <c r="C13" s="91">
        <f>0.00124858650930531*1000000</f>
        <v>1248.5865093053101</v>
      </c>
      <c r="D13" s="91">
        <f>0.00124858650930531*1000000</f>
        <v>1248.5865093053101</v>
      </c>
      <c r="E13" s="91">
        <f>0.00124858650930531*1000000</f>
        <v>1248.5865093053101</v>
      </c>
      <c r="F13" s="91">
        <f t="shared" ref="F13:N13" si="4">0.00124858650930531*1000000</f>
        <v>1248.5865093053101</v>
      </c>
      <c r="G13" s="91">
        <f t="shared" si="4"/>
        <v>1248.5865093053101</v>
      </c>
      <c r="H13" s="91">
        <f>0.00124858650930531*1000000</f>
        <v>1248.5865093053101</v>
      </c>
      <c r="I13" s="91">
        <f>0.00124858650930531*1000000</f>
        <v>1248.5865093053101</v>
      </c>
      <c r="J13" s="91">
        <f>0.00124858650930531*1000000</f>
        <v>1248.5865093053101</v>
      </c>
      <c r="K13" s="91">
        <f t="shared" si="4"/>
        <v>1248.5865093053101</v>
      </c>
      <c r="L13" s="91">
        <f>0.00124858650930531*1000000</f>
        <v>1248.5865093053101</v>
      </c>
      <c r="M13" s="91">
        <f>0.00124858650930531*1000000</f>
        <v>1248.5865093053101</v>
      </c>
      <c r="N13" s="91">
        <f t="shared" si="4"/>
        <v>1248.5865093053101</v>
      </c>
      <c r="O13" s="102"/>
      <c r="P13" s="88"/>
    </row>
    <row r="14" spans="1:16" x14ac:dyDescent="0.25">
      <c r="A14" s="1" t="s">
        <v>33</v>
      </c>
      <c r="B14" s="239"/>
      <c r="C14" s="92">
        <v>0.97</v>
      </c>
      <c r="D14" s="92">
        <v>0.97</v>
      </c>
      <c r="E14" s="92">
        <v>0.97</v>
      </c>
      <c r="F14" s="92">
        <v>0.97</v>
      </c>
      <c r="G14" s="92">
        <v>0.97</v>
      </c>
      <c r="H14" s="92">
        <v>0.97</v>
      </c>
      <c r="I14" s="92">
        <v>0.97</v>
      </c>
      <c r="J14" s="92">
        <v>0.97</v>
      </c>
      <c r="K14" s="92">
        <v>0.97</v>
      </c>
      <c r="L14" s="92">
        <v>0.97</v>
      </c>
      <c r="M14" s="92">
        <v>0.97</v>
      </c>
      <c r="N14" s="92">
        <v>0.97</v>
      </c>
      <c r="O14" s="88"/>
      <c r="P14" s="88"/>
    </row>
    <row r="15" spans="1:16" x14ac:dyDescent="0.25">
      <c r="A15" s="1" t="s">
        <v>18</v>
      </c>
      <c r="B15" s="240"/>
      <c r="C15" s="96">
        <f t="shared" ref="C15:N15" si="5">C12*1000*101.325*C7*C14*C17/(8.3145*288.71)</f>
        <v>3715.1995907386295</v>
      </c>
      <c r="D15" s="96">
        <f t="shared" si="5"/>
        <v>6315.8685037209443</v>
      </c>
      <c r="E15" s="96">
        <f t="shared" si="5"/>
        <v>6439.7865782619092</v>
      </c>
      <c r="F15" s="96">
        <f t="shared" si="5"/>
        <v>6439.7865782619092</v>
      </c>
      <c r="G15" s="96">
        <f t="shared" si="5"/>
        <v>6439.7865782619092</v>
      </c>
      <c r="H15" s="96">
        <f t="shared" si="5"/>
        <v>5614.6389521259198</v>
      </c>
      <c r="I15" s="96">
        <f t="shared" si="5"/>
        <v>4334.4093596377916</v>
      </c>
      <c r="J15" s="96">
        <f t="shared" si="5"/>
        <v>3591.6509095921206</v>
      </c>
      <c r="K15" s="96">
        <f t="shared" si="5"/>
        <v>3054.9063120800233</v>
      </c>
      <c r="L15" s="96">
        <f t="shared" si="5"/>
        <v>2600.7492338921543</v>
      </c>
      <c r="M15" s="96">
        <f t="shared" si="5"/>
        <v>2270.58459090524</v>
      </c>
      <c r="N15" s="96">
        <f t="shared" si="5"/>
        <v>2022.9504799318258</v>
      </c>
      <c r="O15" s="88"/>
      <c r="P15" s="88"/>
    </row>
    <row r="16" spans="1:16" x14ac:dyDescent="0.25">
      <c r="A16" s="1" t="s">
        <v>30</v>
      </c>
      <c r="B16" s="240"/>
      <c r="C16" s="96">
        <f t="shared" ref="C16:N16" si="6">C15*8760/1000</f>
        <v>32545.148414870393</v>
      </c>
      <c r="D16" s="96">
        <f t="shared" si="6"/>
        <v>55327.008092595475</v>
      </c>
      <c r="E16" s="96">
        <f t="shared" si="6"/>
        <v>56412.530425574325</v>
      </c>
      <c r="F16" s="96">
        <f t="shared" si="6"/>
        <v>56412.530425574325</v>
      </c>
      <c r="G16" s="96">
        <f t="shared" si="6"/>
        <v>56412.530425574325</v>
      </c>
      <c r="H16" s="96">
        <f t="shared" si="6"/>
        <v>49184.23722062305</v>
      </c>
      <c r="I16" s="96">
        <f t="shared" si="6"/>
        <v>37969.425990427051</v>
      </c>
      <c r="J16" s="96">
        <f t="shared" si="6"/>
        <v>31462.861968026977</v>
      </c>
      <c r="K16" s="96">
        <f t="shared" si="6"/>
        <v>26760.979293821005</v>
      </c>
      <c r="L16" s="96">
        <f t="shared" si="6"/>
        <v>22782.563288895271</v>
      </c>
      <c r="M16" s="96">
        <f t="shared" si="6"/>
        <v>19890.321016329905</v>
      </c>
      <c r="N16" s="96">
        <f t="shared" si="6"/>
        <v>17721.046204202794</v>
      </c>
      <c r="O16" s="88"/>
      <c r="P16" s="88"/>
    </row>
    <row r="17" spans="1:16" x14ac:dyDescent="0.25">
      <c r="A17" s="1" t="s">
        <v>20</v>
      </c>
      <c r="B17" s="237"/>
      <c r="C17" s="90">
        <v>44.009700775146499</v>
      </c>
      <c r="D17" s="90">
        <v>44.009700775146499</v>
      </c>
      <c r="E17" s="90">
        <v>44.009700775146499</v>
      </c>
      <c r="F17" s="90">
        <v>44.009700775146499</v>
      </c>
      <c r="G17" s="90">
        <v>44.009700775146499</v>
      </c>
      <c r="H17" s="90">
        <v>44.009700775146499</v>
      </c>
      <c r="I17" s="90">
        <v>44.009700775146499</v>
      </c>
      <c r="J17" s="90">
        <v>44.009700775146499</v>
      </c>
      <c r="K17" s="90">
        <v>44.009700775146499</v>
      </c>
      <c r="L17" s="90">
        <v>44.009700775146499</v>
      </c>
      <c r="M17" s="90">
        <v>44.009700775146499</v>
      </c>
      <c r="N17" s="90">
        <v>44.009700775146499</v>
      </c>
      <c r="O17" s="88"/>
      <c r="P17" s="88"/>
    </row>
    <row r="18" spans="1:16" x14ac:dyDescent="0.25">
      <c r="A18" s="1" t="s">
        <v>23</v>
      </c>
      <c r="B18" s="237"/>
      <c r="C18" s="90">
        <f t="shared" ref="C18:N18" si="7">(C15/C17)*0.01*C19</f>
        <v>13.543054095332733</v>
      </c>
      <c r="D18" s="90">
        <f t="shared" si="7"/>
        <v>23.023298403167423</v>
      </c>
      <c r="E18" s="90">
        <f t="shared" si="7"/>
        <v>23.475018195310302</v>
      </c>
      <c r="F18" s="90">
        <f t="shared" si="7"/>
        <v>23.475018195310302</v>
      </c>
      <c r="G18" s="90">
        <f t="shared" si="7"/>
        <v>23.475018195310302</v>
      </c>
      <c r="H18" s="90">
        <f t="shared" si="7"/>
        <v>20.46709932999482</v>
      </c>
      <c r="I18" s="90">
        <f t="shared" si="7"/>
        <v>15.80026563720109</v>
      </c>
      <c r="J18" s="90">
        <f t="shared" si="7"/>
        <v>13.092680856612192</v>
      </c>
      <c r="K18" s="90">
        <f t="shared" si="7"/>
        <v>11.136080425883053</v>
      </c>
      <c r="L18" s="90">
        <f t="shared" si="7"/>
        <v>9.4805371024478404</v>
      </c>
      <c r="M18" s="90">
        <f t="shared" si="7"/>
        <v>8.2769846388104771</v>
      </c>
      <c r="N18" s="90">
        <f t="shared" si="7"/>
        <v>7.3742815460552871</v>
      </c>
      <c r="O18" s="88"/>
      <c r="P18" s="88"/>
    </row>
    <row r="19" spans="1:16" x14ac:dyDescent="0.25">
      <c r="A19" s="1" t="s">
        <v>22</v>
      </c>
      <c r="B19" s="237"/>
      <c r="C19" s="90">
        <v>16.042900085449201</v>
      </c>
      <c r="D19" s="90">
        <v>16.042900085449201</v>
      </c>
      <c r="E19" s="90">
        <v>16.042900085449201</v>
      </c>
      <c r="F19" s="90">
        <v>16.042900085449201</v>
      </c>
      <c r="G19" s="90">
        <v>16.042900085449201</v>
      </c>
      <c r="H19" s="90">
        <v>16.042900085449201</v>
      </c>
      <c r="I19" s="90">
        <v>16.042900085449201</v>
      </c>
      <c r="J19" s="90">
        <v>16.042900085449201</v>
      </c>
      <c r="K19" s="90">
        <v>16.042900085449201</v>
      </c>
      <c r="L19" s="90">
        <v>16.042900085449201</v>
      </c>
      <c r="M19" s="90">
        <v>16.042900085449201</v>
      </c>
      <c r="N19" s="90">
        <v>16.042900085449201</v>
      </c>
      <c r="O19" s="88"/>
      <c r="P19" s="88"/>
    </row>
    <row r="20" spans="1:16" x14ac:dyDescent="0.25">
      <c r="A20" s="1" t="s">
        <v>24</v>
      </c>
      <c r="B20" s="237"/>
      <c r="C20" s="90">
        <f t="shared" ref="C20:N20" si="8">(C15/C17)*0.0005*C21</f>
        <v>3.2969349619397219</v>
      </c>
      <c r="D20" s="90">
        <f t="shared" si="8"/>
        <v>5.6048153474283797</v>
      </c>
      <c r="E20" s="90">
        <f t="shared" si="8"/>
        <v>5.7147824763516279</v>
      </c>
      <c r="F20" s="90">
        <f t="shared" si="8"/>
        <v>5.7147824763516279</v>
      </c>
      <c r="G20" s="90">
        <f t="shared" si="8"/>
        <v>5.7147824763516279</v>
      </c>
      <c r="H20" s="90">
        <f t="shared" si="8"/>
        <v>4.9825316265854527</v>
      </c>
      <c r="I20" s="90">
        <f t="shared" si="8"/>
        <v>3.8464328518908752</v>
      </c>
      <c r="J20" s="90">
        <f t="shared" si="8"/>
        <v>3.1872956393609626</v>
      </c>
      <c r="K20" s="90">
        <f t="shared" si="8"/>
        <v>2.7109788262397396</v>
      </c>
      <c r="L20" s="90">
        <f t="shared" si="8"/>
        <v>2.307951663709209</v>
      </c>
      <c r="M20" s="90">
        <f t="shared" si="8"/>
        <v>2.0149576190895253</v>
      </c>
      <c r="N20" s="90">
        <f t="shared" si="8"/>
        <v>1.7952026534956598</v>
      </c>
      <c r="O20" s="88"/>
      <c r="P20" s="88"/>
    </row>
    <row r="21" spans="1:16" x14ac:dyDescent="0.25">
      <c r="A21" s="1" t="s">
        <v>21</v>
      </c>
      <c r="B21" s="237"/>
      <c r="C21" s="90">
        <v>78.110000610351605</v>
      </c>
      <c r="D21" s="90">
        <v>78.110000610351605</v>
      </c>
      <c r="E21" s="90">
        <v>78.110000610351605</v>
      </c>
      <c r="F21" s="90">
        <v>78.110000610351605</v>
      </c>
      <c r="G21" s="90">
        <v>78.110000610351605</v>
      </c>
      <c r="H21" s="90">
        <v>78.110000610351605</v>
      </c>
      <c r="I21" s="90">
        <v>78.110000610351605</v>
      </c>
      <c r="J21" s="90">
        <v>78.110000610351605</v>
      </c>
      <c r="K21" s="90">
        <v>78.110000610351605</v>
      </c>
      <c r="L21" s="90">
        <v>78.110000610351605</v>
      </c>
      <c r="M21" s="90">
        <v>78.110000610351605</v>
      </c>
      <c r="N21" s="90">
        <v>78.110000610351605</v>
      </c>
      <c r="O21" s="88"/>
      <c r="P21" s="88"/>
    </row>
    <row r="22" spans="1:16" x14ac:dyDescent="0.25">
      <c r="A22" s="1"/>
      <c r="B22" s="23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8"/>
      <c r="P22" s="88"/>
    </row>
    <row r="23" spans="1:16" x14ac:dyDescent="0.25">
      <c r="A23" s="2" t="s">
        <v>132</v>
      </c>
      <c r="B23" s="237"/>
      <c r="C23" s="89" t="s">
        <v>0</v>
      </c>
      <c r="D23" s="89" t="s">
        <v>0</v>
      </c>
      <c r="E23" s="89" t="s">
        <v>0</v>
      </c>
      <c r="F23" s="89" t="s">
        <v>0</v>
      </c>
      <c r="G23" s="89" t="s">
        <v>0</v>
      </c>
      <c r="H23" s="89" t="s">
        <v>0</v>
      </c>
      <c r="I23" s="89" t="s">
        <v>0</v>
      </c>
      <c r="J23" s="89" t="s">
        <v>0</v>
      </c>
      <c r="K23" s="89" t="s">
        <v>0</v>
      </c>
      <c r="L23" s="89" t="s">
        <v>0</v>
      </c>
      <c r="M23" s="89" t="s">
        <v>0</v>
      </c>
      <c r="N23" s="89" t="s">
        <v>0</v>
      </c>
      <c r="O23" s="88"/>
      <c r="P23" s="88"/>
    </row>
    <row r="24" spans="1:16" x14ac:dyDescent="0.25">
      <c r="A24" s="1" t="s">
        <v>5</v>
      </c>
      <c r="B24" s="237"/>
      <c r="C24" s="89">
        <f t="shared" ref="C24:N24" si="9">C11</f>
        <v>43.686747076051596</v>
      </c>
      <c r="D24" s="89">
        <f t="shared" si="9"/>
        <v>74.267813383560636</v>
      </c>
      <c r="E24" s="89">
        <f t="shared" si="9"/>
        <v>75.724956519051233</v>
      </c>
      <c r="F24" s="89">
        <f t="shared" si="9"/>
        <v>75.724956519051233</v>
      </c>
      <c r="G24" s="89">
        <f t="shared" si="9"/>
        <v>75.724956519051233</v>
      </c>
      <c r="H24" s="89">
        <f t="shared" si="9"/>
        <v>66.022108862287681</v>
      </c>
      <c r="I24" s="89">
        <f t="shared" si="9"/>
        <v>50.967987262541783</v>
      </c>
      <c r="J24" s="89">
        <f t="shared" si="9"/>
        <v>42.233947609158285</v>
      </c>
      <c r="K24" s="89">
        <f t="shared" si="9"/>
        <v>35.922409048914687</v>
      </c>
      <c r="L24" s="89">
        <f t="shared" si="9"/>
        <v>30.582010794928166</v>
      </c>
      <c r="M24" s="89">
        <f t="shared" si="9"/>
        <v>26.699630077730543</v>
      </c>
      <c r="N24" s="89">
        <f t="shared" si="9"/>
        <v>23.787719557373372</v>
      </c>
      <c r="O24" s="88"/>
      <c r="P24" s="88"/>
    </row>
    <row r="25" spans="1:16" ht="17.25" x14ac:dyDescent="0.25">
      <c r="A25" s="1" t="s">
        <v>2</v>
      </c>
      <c r="B25" s="241"/>
      <c r="C25" s="90">
        <f t="shared" ref="C25:N25" si="10">C24*0.3048^3</f>
        <v>1.2370709150560577</v>
      </c>
      <c r="D25" s="90">
        <f t="shared" si="10"/>
        <v>2.1030302783055714</v>
      </c>
      <c r="E25" s="90">
        <f t="shared" si="10"/>
        <v>2.1442919769358446</v>
      </c>
      <c r="F25" s="90">
        <f t="shared" si="10"/>
        <v>2.1442919769358446</v>
      </c>
      <c r="G25" s="90">
        <f t="shared" si="10"/>
        <v>2.1442919769358446</v>
      </c>
      <c r="H25" s="90">
        <f t="shared" si="10"/>
        <v>1.8695379283337241</v>
      </c>
      <c r="I25" s="90">
        <f t="shared" si="10"/>
        <v>1.443252676416406</v>
      </c>
      <c r="J25" s="90">
        <f t="shared" si="10"/>
        <v>1.1959322154231005</v>
      </c>
      <c r="K25" s="90">
        <f t="shared" si="10"/>
        <v>1.0172093462531899</v>
      </c>
      <c r="L25" s="90">
        <f t="shared" si="10"/>
        <v>0.86598610815486898</v>
      </c>
      <c r="M25" s="90">
        <f t="shared" si="10"/>
        <v>0.75604932897424493</v>
      </c>
      <c r="N25" s="90">
        <f t="shared" si="10"/>
        <v>0.67359320547965995</v>
      </c>
      <c r="O25" s="88"/>
      <c r="P25" s="88"/>
    </row>
    <row r="26" spans="1:16" x14ac:dyDescent="0.25">
      <c r="A26" s="1" t="s">
        <v>8</v>
      </c>
      <c r="B26" s="241"/>
      <c r="C26" s="90">
        <v>12101.325000000001</v>
      </c>
      <c r="D26" s="90">
        <v>12101.325000000001</v>
      </c>
      <c r="E26" s="90">
        <v>12101.325000000001</v>
      </c>
      <c r="F26" s="90">
        <v>12101.325000000001</v>
      </c>
      <c r="G26" s="90">
        <v>12101.325000000001</v>
      </c>
      <c r="H26" s="90">
        <v>12101.325000000001</v>
      </c>
      <c r="I26" s="90">
        <v>12101.325000000001</v>
      </c>
      <c r="J26" s="90">
        <v>12101.325000000001</v>
      </c>
      <c r="K26" s="90">
        <v>12101.325000000001</v>
      </c>
      <c r="L26" s="90">
        <v>12101.325000000001</v>
      </c>
      <c r="M26" s="90">
        <v>12101.325000000001</v>
      </c>
      <c r="N26" s="90">
        <v>12101.325000000001</v>
      </c>
      <c r="O26" s="88"/>
      <c r="P26" s="88"/>
    </row>
    <row r="27" spans="1:16" ht="17.25" x14ac:dyDescent="0.25">
      <c r="A27" s="1" t="s">
        <v>1</v>
      </c>
      <c r="B27" s="237"/>
      <c r="C27" s="89">
        <f t="shared" ref="C27:N27" si="11">4.28+0.00033</f>
        <v>4.2803300000000002</v>
      </c>
      <c r="D27" s="89">
        <f t="shared" si="11"/>
        <v>4.2803300000000002</v>
      </c>
      <c r="E27" s="89">
        <f t="shared" si="11"/>
        <v>4.2803300000000002</v>
      </c>
      <c r="F27" s="89">
        <f t="shared" si="11"/>
        <v>4.2803300000000002</v>
      </c>
      <c r="G27" s="89">
        <f t="shared" si="11"/>
        <v>4.2803300000000002</v>
      </c>
      <c r="H27" s="89">
        <f t="shared" si="11"/>
        <v>4.2803300000000002</v>
      </c>
      <c r="I27" s="89">
        <f t="shared" si="11"/>
        <v>4.2803300000000002</v>
      </c>
      <c r="J27" s="89">
        <f t="shared" si="11"/>
        <v>4.2803300000000002</v>
      </c>
      <c r="K27" s="89">
        <f t="shared" si="11"/>
        <v>4.2803300000000002</v>
      </c>
      <c r="L27" s="89">
        <f t="shared" si="11"/>
        <v>4.2803300000000002</v>
      </c>
      <c r="M27" s="89">
        <f t="shared" si="11"/>
        <v>4.2803300000000002</v>
      </c>
      <c r="N27" s="89">
        <f t="shared" si="11"/>
        <v>4.2803300000000002</v>
      </c>
      <c r="O27" s="88"/>
      <c r="P27" s="88"/>
    </row>
    <row r="28" spans="1:16" x14ac:dyDescent="0.25">
      <c r="A28" s="1" t="s">
        <v>3</v>
      </c>
      <c r="B28" s="237"/>
      <c r="C28" s="89">
        <v>20</v>
      </c>
      <c r="D28" s="89">
        <v>20</v>
      </c>
      <c r="E28" s="89">
        <v>20</v>
      </c>
      <c r="F28" s="89">
        <v>20</v>
      </c>
      <c r="G28" s="89">
        <v>20</v>
      </c>
      <c r="H28" s="89">
        <v>20</v>
      </c>
      <c r="I28" s="89">
        <v>20</v>
      </c>
      <c r="J28" s="89">
        <v>20</v>
      </c>
      <c r="K28" s="89">
        <v>20</v>
      </c>
      <c r="L28" s="89">
        <v>20</v>
      </c>
      <c r="M28" s="89">
        <v>20</v>
      </c>
      <c r="N28" s="89">
        <v>20</v>
      </c>
      <c r="O28" s="88"/>
      <c r="P28" s="88"/>
    </row>
    <row r="29" spans="1:16" x14ac:dyDescent="0.25">
      <c r="A29" s="1" t="s">
        <v>4</v>
      </c>
      <c r="B29" s="241"/>
      <c r="C29" s="90">
        <v>0.33</v>
      </c>
      <c r="D29" s="90">
        <v>0.33</v>
      </c>
      <c r="E29" s="90">
        <v>0.33</v>
      </c>
      <c r="F29" s="90">
        <v>0.33</v>
      </c>
      <c r="G29" s="90">
        <v>0.33</v>
      </c>
      <c r="H29" s="90">
        <v>0.33</v>
      </c>
      <c r="I29" s="90">
        <v>0.33</v>
      </c>
      <c r="J29" s="90">
        <v>0.33</v>
      </c>
      <c r="K29" s="90">
        <v>0.33</v>
      </c>
      <c r="L29" s="90">
        <v>0.33</v>
      </c>
      <c r="M29" s="90">
        <v>0.33</v>
      </c>
      <c r="N29" s="90">
        <v>0.33</v>
      </c>
      <c r="O29" s="88"/>
      <c r="P29" s="88"/>
    </row>
    <row r="30" spans="1:16" ht="17.25" x14ac:dyDescent="0.25">
      <c r="A30" s="1" t="s">
        <v>19</v>
      </c>
      <c r="B30" s="241"/>
      <c r="C30" s="90">
        <f t="shared" ref="C30:N30" si="12">328*(C25*C27/C28)</f>
        <v>86.839176697407083</v>
      </c>
      <c r="D30" s="90">
        <f t="shared" si="12"/>
        <v>147.62728289469086</v>
      </c>
      <c r="E30" s="90">
        <f t="shared" si="12"/>
        <v>150.52374735325998</v>
      </c>
      <c r="F30" s="90">
        <f t="shared" si="12"/>
        <v>150.52374735325998</v>
      </c>
      <c r="G30" s="90">
        <f t="shared" si="12"/>
        <v>150.52374735325998</v>
      </c>
      <c r="H30" s="90">
        <f t="shared" si="12"/>
        <v>131.23672420486889</v>
      </c>
      <c r="I30" s="90">
        <f t="shared" si="12"/>
        <v>101.31260274650514</v>
      </c>
      <c r="J30" s="90">
        <f t="shared" si="12"/>
        <v>83.951346450128142</v>
      </c>
      <c r="K30" s="90">
        <f t="shared" si="12"/>
        <v>71.405463569185827</v>
      </c>
      <c r="L30" s="90">
        <f t="shared" si="12"/>
        <v>60.789983620423904</v>
      </c>
      <c r="M30" s="90">
        <f t="shared" si="12"/>
        <v>53.072706238328607</v>
      </c>
      <c r="N30" s="90">
        <f t="shared" si="12"/>
        <v>47.284499765456353</v>
      </c>
      <c r="O30" s="88"/>
      <c r="P30" s="88"/>
    </row>
    <row r="31" spans="1:16" ht="17.25" x14ac:dyDescent="0.25">
      <c r="A31" s="1" t="s">
        <v>6</v>
      </c>
      <c r="B31" s="241"/>
      <c r="C31" s="90">
        <f t="shared" ref="C31:N31" si="13">C30*24</f>
        <v>2084.14024073777</v>
      </c>
      <c r="D31" s="90">
        <f t="shared" si="13"/>
        <v>3543.0547894725805</v>
      </c>
      <c r="E31" s="90">
        <f t="shared" si="13"/>
        <v>3612.5699364782395</v>
      </c>
      <c r="F31" s="90">
        <f t="shared" si="13"/>
        <v>3612.5699364782395</v>
      </c>
      <c r="G31" s="90">
        <f t="shared" si="13"/>
        <v>3612.5699364782395</v>
      </c>
      <c r="H31" s="90">
        <f t="shared" si="13"/>
        <v>3149.6813809168534</v>
      </c>
      <c r="I31" s="90">
        <f t="shared" si="13"/>
        <v>2431.5024659161231</v>
      </c>
      <c r="J31" s="90">
        <f t="shared" si="13"/>
        <v>2014.8323148030754</v>
      </c>
      <c r="K31" s="90">
        <f t="shared" si="13"/>
        <v>1713.7311256604598</v>
      </c>
      <c r="L31" s="90">
        <f t="shared" si="13"/>
        <v>1458.9596068901737</v>
      </c>
      <c r="M31" s="90">
        <f t="shared" si="13"/>
        <v>1273.7449497198866</v>
      </c>
      <c r="N31" s="90">
        <f t="shared" si="13"/>
        <v>1134.8279943709524</v>
      </c>
      <c r="O31" s="88"/>
      <c r="P31" s="88"/>
    </row>
    <row r="32" spans="1:16" x14ac:dyDescent="0.25">
      <c r="A32" s="1" t="s">
        <v>7</v>
      </c>
      <c r="B32" s="241"/>
      <c r="C32" s="90">
        <f t="shared" ref="C32:N32" si="14">C30*1000*0.264171952/60</f>
        <v>382.34124697044899</v>
      </c>
      <c r="D32" s="90">
        <f t="shared" si="14"/>
        <v>649.98312484577821</v>
      </c>
      <c r="E32" s="90">
        <f t="shared" si="14"/>
        <v>662.73586934442528</v>
      </c>
      <c r="F32" s="90">
        <f t="shared" si="14"/>
        <v>662.73586934442528</v>
      </c>
      <c r="G32" s="90">
        <f t="shared" si="14"/>
        <v>662.73586934442528</v>
      </c>
      <c r="H32" s="90">
        <f t="shared" si="14"/>
        <v>577.81769345476437</v>
      </c>
      <c r="I32" s="90">
        <f t="shared" si="14"/>
        <v>446.065800495747</v>
      </c>
      <c r="J32" s="90">
        <f t="shared" si="14"/>
        <v>369.62651774597703</v>
      </c>
      <c r="K32" s="90">
        <f t="shared" si="14"/>
        <v>314.38867824227844</v>
      </c>
      <c r="L32" s="90">
        <f t="shared" si="14"/>
        <v>267.65014391759013</v>
      </c>
      <c r="M32" s="90">
        <f t="shared" si="14"/>
        <v>233.67200674836411</v>
      </c>
      <c r="N32" s="90">
        <f t="shared" si="14"/>
        <v>208.18731003973576</v>
      </c>
      <c r="O32" s="88"/>
      <c r="P32" s="88"/>
    </row>
    <row r="33" spans="1:16" x14ac:dyDescent="0.25">
      <c r="A33" s="1" t="s">
        <v>9</v>
      </c>
      <c r="B33" s="235"/>
      <c r="C33" s="91">
        <f t="shared" ref="C33:N33" si="15">10750*(C25/C26^0.5)^0.5</f>
        <v>1139.9807851766277</v>
      </c>
      <c r="D33" s="91">
        <f t="shared" si="15"/>
        <v>1486.3565311805601</v>
      </c>
      <c r="E33" s="91">
        <f t="shared" si="15"/>
        <v>1500.8669468949333</v>
      </c>
      <c r="F33" s="91">
        <f t="shared" si="15"/>
        <v>1500.8669468949333</v>
      </c>
      <c r="G33" s="91">
        <f t="shared" si="15"/>
        <v>1500.8669468949333</v>
      </c>
      <c r="H33" s="91">
        <f t="shared" si="15"/>
        <v>1401.4169735533928</v>
      </c>
      <c r="I33" s="91">
        <f t="shared" si="15"/>
        <v>1231.3213755826805</v>
      </c>
      <c r="J33" s="91">
        <f t="shared" si="15"/>
        <v>1120.8655351253635</v>
      </c>
      <c r="K33" s="91">
        <f t="shared" si="15"/>
        <v>1033.725915101804</v>
      </c>
      <c r="L33" s="91">
        <f t="shared" si="15"/>
        <v>953.79643688761871</v>
      </c>
      <c r="M33" s="91">
        <f t="shared" si="15"/>
        <v>891.20024906336835</v>
      </c>
      <c r="N33" s="91">
        <f t="shared" si="15"/>
        <v>841.19964737394821</v>
      </c>
      <c r="O33" s="88"/>
      <c r="P33" s="88"/>
    </row>
    <row r="34" spans="1:16" x14ac:dyDescent="0.25">
      <c r="A34" s="1"/>
      <c r="B34" s="23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8"/>
      <c r="P34" s="88"/>
    </row>
    <row r="35" spans="1:16" s="88" customFormat="1" x14ac:dyDescent="0.25">
      <c r="A35" s="2" t="s">
        <v>133</v>
      </c>
      <c r="B35" s="237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6" x14ac:dyDescent="0.25">
      <c r="A36" s="1" t="s">
        <v>25</v>
      </c>
      <c r="B36" s="241"/>
      <c r="C36" s="90">
        <f t="shared" ref="C36:N36" si="16">93*C30/1000</f>
        <v>8.0760434328588584</v>
      </c>
      <c r="D36" s="90">
        <f t="shared" si="16"/>
        <v>13.729337309206251</v>
      </c>
      <c r="E36" s="90">
        <f t="shared" si="16"/>
        <v>13.998708503853178</v>
      </c>
      <c r="F36" s="90">
        <f t="shared" si="16"/>
        <v>13.998708503853178</v>
      </c>
      <c r="G36" s="90">
        <f t="shared" si="16"/>
        <v>13.998708503853178</v>
      </c>
      <c r="H36" s="90">
        <f t="shared" si="16"/>
        <v>12.205015351052808</v>
      </c>
      <c r="I36" s="90">
        <f t="shared" si="16"/>
        <v>9.4220720554249784</v>
      </c>
      <c r="J36" s="90">
        <f t="shared" si="16"/>
        <v>7.8074752198619173</v>
      </c>
      <c r="K36" s="90">
        <f t="shared" si="16"/>
        <v>6.6407081119342823</v>
      </c>
      <c r="L36" s="90">
        <f t="shared" si="16"/>
        <v>5.6534684766994232</v>
      </c>
      <c r="M36" s="90">
        <f t="shared" si="16"/>
        <v>4.9357616801645605</v>
      </c>
      <c r="N36" s="90">
        <f t="shared" si="16"/>
        <v>4.3974584781874411</v>
      </c>
      <c r="O36" s="88"/>
      <c r="P36" s="88"/>
    </row>
    <row r="37" spans="1:16" x14ac:dyDescent="0.25">
      <c r="A37" s="1" t="s">
        <v>26</v>
      </c>
      <c r="B37" s="241"/>
      <c r="C37" s="90">
        <f t="shared" ref="C37:N37" si="17">C36/C38</f>
        <v>8.9733815920653974</v>
      </c>
      <c r="D37" s="90">
        <f t="shared" si="17"/>
        <v>15.254819232451389</v>
      </c>
      <c r="E37" s="90">
        <f t="shared" si="17"/>
        <v>15.554120559836864</v>
      </c>
      <c r="F37" s="90">
        <f t="shared" si="17"/>
        <v>15.554120559836864</v>
      </c>
      <c r="G37" s="90">
        <f t="shared" si="17"/>
        <v>15.554120559836864</v>
      </c>
      <c r="H37" s="90">
        <f t="shared" si="17"/>
        <v>13.561128167836452</v>
      </c>
      <c r="I37" s="90">
        <f t="shared" si="17"/>
        <v>10.468968950472197</v>
      </c>
      <c r="J37" s="90">
        <f t="shared" si="17"/>
        <v>8.6749724665132408</v>
      </c>
      <c r="K37" s="90">
        <f t="shared" si="17"/>
        <v>7.378564568815869</v>
      </c>
      <c r="L37" s="90">
        <f t="shared" si="17"/>
        <v>6.2816316407771371</v>
      </c>
      <c r="M37" s="90">
        <f t="shared" si="17"/>
        <v>5.4841796446272895</v>
      </c>
      <c r="N37" s="90">
        <f t="shared" si="17"/>
        <v>4.8860649757638237</v>
      </c>
      <c r="O37" s="88"/>
      <c r="P37" s="88"/>
    </row>
    <row r="38" spans="1:16" x14ac:dyDescent="0.25">
      <c r="A38" s="1" t="s">
        <v>34</v>
      </c>
      <c r="B38" s="239"/>
      <c r="C38" s="92">
        <v>0.9</v>
      </c>
      <c r="D38" s="92">
        <v>0.9</v>
      </c>
      <c r="E38" s="92">
        <v>0.9</v>
      </c>
      <c r="F38" s="92">
        <v>0.9</v>
      </c>
      <c r="G38" s="92">
        <v>0.9</v>
      </c>
      <c r="H38" s="92">
        <v>0.9</v>
      </c>
      <c r="I38" s="92">
        <v>0.9</v>
      </c>
      <c r="J38" s="92">
        <v>0.9</v>
      </c>
      <c r="K38" s="92">
        <v>0.9</v>
      </c>
      <c r="L38" s="92">
        <v>0.9</v>
      </c>
      <c r="M38" s="92">
        <v>0.9</v>
      </c>
      <c r="N38" s="92">
        <v>0.9</v>
      </c>
      <c r="O38" s="88"/>
      <c r="P38" s="88"/>
    </row>
    <row r="39" spans="1:16" x14ac:dyDescent="0.25">
      <c r="A39" s="1" t="s">
        <v>27</v>
      </c>
      <c r="B39" s="237"/>
      <c r="C39" s="93">
        <f t="shared" ref="C39:N39" si="18">49493.5728065773/1000</f>
        <v>49.493572806577298</v>
      </c>
      <c r="D39" s="93">
        <f t="shared" si="18"/>
        <v>49.493572806577298</v>
      </c>
      <c r="E39" s="93">
        <f t="shared" si="18"/>
        <v>49.493572806577298</v>
      </c>
      <c r="F39" s="93">
        <f t="shared" si="18"/>
        <v>49.493572806577298</v>
      </c>
      <c r="G39" s="93">
        <f t="shared" si="18"/>
        <v>49.493572806577298</v>
      </c>
      <c r="H39" s="93">
        <f t="shared" si="18"/>
        <v>49.493572806577298</v>
      </c>
      <c r="I39" s="93">
        <f t="shared" si="18"/>
        <v>49.493572806577298</v>
      </c>
      <c r="J39" s="93">
        <f t="shared" si="18"/>
        <v>49.493572806577298</v>
      </c>
      <c r="K39" s="93">
        <f t="shared" si="18"/>
        <v>49.493572806577298</v>
      </c>
      <c r="L39" s="93">
        <f t="shared" si="18"/>
        <v>49.493572806577298</v>
      </c>
      <c r="M39" s="93">
        <f t="shared" si="18"/>
        <v>49.493572806577298</v>
      </c>
      <c r="N39" s="93">
        <f t="shared" si="18"/>
        <v>49.493572806577298</v>
      </c>
      <c r="O39" s="88"/>
      <c r="P39" s="88"/>
    </row>
    <row r="40" spans="1:16" x14ac:dyDescent="0.25">
      <c r="A40" s="1" t="s">
        <v>28</v>
      </c>
      <c r="B40" s="237"/>
      <c r="C40" s="91">
        <f t="shared" ref="C40:N40" si="19">(C37/C39)*3600</f>
        <v>652.69431765779632</v>
      </c>
      <c r="D40" s="91">
        <f t="shared" si="19"/>
        <v>1109.5854698436101</v>
      </c>
      <c r="E40" s="91">
        <f t="shared" si="19"/>
        <v>1131.3556658001348</v>
      </c>
      <c r="F40" s="91">
        <f t="shared" si="19"/>
        <v>1131.3556658001348</v>
      </c>
      <c r="G40" s="91">
        <f t="shared" si="19"/>
        <v>1131.3556658001348</v>
      </c>
      <c r="H40" s="91">
        <f t="shared" si="19"/>
        <v>986.39194214169629</v>
      </c>
      <c r="I40" s="91">
        <f t="shared" si="19"/>
        <v>761.47843213879764</v>
      </c>
      <c r="J40" s="91">
        <f t="shared" si="19"/>
        <v>630.9890175335546</v>
      </c>
      <c r="K40" s="91">
        <f t="shared" si="19"/>
        <v>536.69256312421919</v>
      </c>
      <c r="L40" s="91">
        <f t="shared" si="19"/>
        <v>456.90526313736825</v>
      </c>
      <c r="M40" s="91">
        <f t="shared" si="19"/>
        <v>398.90122294898362</v>
      </c>
      <c r="N40" s="91">
        <f t="shared" si="19"/>
        <v>355.39632552880113</v>
      </c>
      <c r="O40" s="88"/>
      <c r="P40" s="88"/>
    </row>
    <row r="41" spans="1:16" x14ac:dyDescent="0.25">
      <c r="A41" s="1" t="s">
        <v>29</v>
      </c>
      <c r="B41" s="237"/>
      <c r="C41" s="93">
        <v>2.6255526396455386</v>
      </c>
      <c r="D41" s="93">
        <v>2.6255526396455386</v>
      </c>
      <c r="E41" s="93">
        <v>2.6255526396455386</v>
      </c>
      <c r="F41" s="93">
        <v>2.6255526396455386</v>
      </c>
      <c r="G41" s="93">
        <v>2.6255526396455386</v>
      </c>
      <c r="H41" s="93">
        <v>2.6255526396455386</v>
      </c>
      <c r="I41" s="93">
        <v>2.6255526396455386</v>
      </c>
      <c r="J41" s="93">
        <v>2.6255526396455386</v>
      </c>
      <c r="K41" s="93">
        <v>2.6255526396455386</v>
      </c>
      <c r="L41" s="93">
        <v>2.6255526396455386</v>
      </c>
      <c r="M41" s="93">
        <v>2.6255526396455386</v>
      </c>
      <c r="N41" s="93">
        <v>2.6255526396455386</v>
      </c>
      <c r="O41" s="88"/>
      <c r="P41" s="88"/>
    </row>
    <row r="42" spans="1:16" x14ac:dyDescent="0.25">
      <c r="A42" s="1" t="s">
        <v>31</v>
      </c>
      <c r="B42" s="237"/>
      <c r="C42" s="91">
        <f t="shared" ref="C42:N42" si="20">C40*C41</f>
        <v>1713.6832886080708</v>
      </c>
      <c r="D42" s="91">
        <f t="shared" si="20"/>
        <v>2913.2750592602256</v>
      </c>
      <c r="E42" s="91">
        <f t="shared" si="20"/>
        <v>2970.4338547194798</v>
      </c>
      <c r="F42" s="91">
        <f t="shared" si="20"/>
        <v>2970.4338547194798</v>
      </c>
      <c r="G42" s="91">
        <f t="shared" si="20"/>
        <v>2970.4338547194798</v>
      </c>
      <c r="H42" s="91">
        <f t="shared" si="20"/>
        <v>2589.8239674152201</v>
      </c>
      <c r="I42" s="91">
        <f t="shared" si="20"/>
        <v>1999.3017075351663</v>
      </c>
      <c r="J42" s="91">
        <f t="shared" si="20"/>
        <v>1656.6948805725694</v>
      </c>
      <c r="K42" s="91">
        <f t="shared" si="20"/>
        <v>1409.1145757889235</v>
      </c>
      <c r="L42" s="91">
        <f t="shared" si="20"/>
        <v>1199.6288196982566</v>
      </c>
      <c r="M42" s="91">
        <f t="shared" si="20"/>
        <v>1047.3361588715375</v>
      </c>
      <c r="N42" s="91">
        <f t="shared" si="20"/>
        <v>933.11176061246897</v>
      </c>
      <c r="O42" s="88"/>
      <c r="P42" s="88"/>
    </row>
    <row r="43" spans="1:16" x14ac:dyDescent="0.25">
      <c r="A43" s="1" t="s">
        <v>32</v>
      </c>
      <c r="B43" s="240"/>
      <c r="C43" s="96">
        <f t="shared" ref="C43:N43" si="21">C42*8760/1000</f>
        <v>15011.865608206701</v>
      </c>
      <c r="D43" s="96">
        <f t="shared" si="21"/>
        <v>25520.289519119575</v>
      </c>
      <c r="E43" s="96">
        <f t="shared" si="21"/>
        <v>26021.000567342642</v>
      </c>
      <c r="F43" s="96">
        <f t="shared" si="21"/>
        <v>26021.000567342642</v>
      </c>
      <c r="G43" s="96">
        <f t="shared" si="21"/>
        <v>26021.000567342642</v>
      </c>
      <c r="H43" s="96">
        <f t="shared" si="21"/>
        <v>22686.85795455733</v>
      </c>
      <c r="I43" s="96">
        <f t="shared" si="21"/>
        <v>17513.88295800806</v>
      </c>
      <c r="J43" s="96">
        <f t="shared" si="21"/>
        <v>14512.647153815709</v>
      </c>
      <c r="K43" s="96">
        <f t="shared" si="21"/>
        <v>12343.843683910969</v>
      </c>
      <c r="L43" s="96">
        <f t="shared" si="21"/>
        <v>10508.748460556728</v>
      </c>
      <c r="M43" s="96">
        <f t="shared" si="21"/>
        <v>9174.6647517146666</v>
      </c>
      <c r="N43" s="96">
        <f t="shared" si="21"/>
        <v>8174.059022965228</v>
      </c>
      <c r="O43" s="88"/>
      <c r="P43" s="88"/>
    </row>
    <row r="44" spans="1:16" ht="18" customHeight="1" x14ac:dyDescent="0.25">
      <c r="A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3" t="s">
        <v>97</v>
      </c>
    </row>
    <row r="45" spans="1:16" x14ac:dyDescent="0.25">
      <c r="A45" s="1" t="s">
        <v>126</v>
      </c>
      <c r="B45" s="240"/>
      <c r="C45" s="96">
        <f t="shared" ref="C45:N45" si="22">C16+C43</f>
        <v>47557.014023077092</v>
      </c>
      <c r="D45" s="96">
        <f t="shared" si="22"/>
        <v>80847.297611715054</v>
      </c>
      <c r="E45" s="96">
        <f t="shared" si="22"/>
        <v>82433.53099291696</v>
      </c>
      <c r="F45" s="96">
        <f t="shared" si="22"/>
        <v>82433.53099291696</v>
      </c>
      <c r="G45" s="96">
        <f t="shared" si="22"/>
        <v>82433.53099291696</v>
      </c>
      <c r="H45" s="96">
        <f t="shared" si="22"/>
        <v>71871.09517518038</v>
      </c>
      <c r="I45" s="96">
        <f t="shared" si="22"/>
        <v>55483.308948435108</v>
      </c>
      <c r="J45" s="96">
        <f t="shared" si="22"/>
        <v>45975.509121842682</v>
      </c>
      <c r="K45" s="96">
        <f t="shared" si="22"/>
        <v>39104.822977731972</v>
      </c>
      <c r="L45" s="96">
        <f t="shared" si="22"/>
        <v>33291.311749451997</v>
      </c>
      <c r="M45" s="96">
        <f t="shared" si="22"/>
        <v>29064.985768044571</v>
      </c>
      <c r="N45" s="96">
        <f t="shared" si="22"/>
        <v>25895.105227168024</v>
      </c>
      <c r="O45" s="88"/>
      <c r="P45" s="4">
        <f>SUM(C45:N45)</f>
        <v>676391.04358139785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opLeftCell="A36" workbookViewId="0">
      <selection sqref="A1:P52"/>
    </sheetView>
  </sheetViews>
  <sheetFormatPr defaultRowHeight="15" x14ac:dyDescent="0.25"/>
  <cols>
    <col min="1" max="1" width="61.85546875" customWidth="1"/>
    <col min="2" max="2" width="5" style="12" customWidth="1"/>
    <col min="3" max="3" width="11.140625" bestFit="1" customWidth="1"/>
    <col min="16" max="16" width="10.85546875" customWidth="1"/>
  </cols>
  <sheetData>
    <row r="1" spans="1:16" ht="18.75" x14ac:dyDescent="0.3">
      <c r="A1" s="7" t="s">
        <v>137</v>
      </c>
      <c r="C1" s="88"/>
      <c r="D1" s="88"/>
      <c r="E1" s="5"/>
      <c r="F1" s="5"/>
      <c r="G1" s="106"/>
      <c r="H1" s="106"/>
      <c r="I1" s="88"/>
      <c r="J1" s="88"/>
      <c r="K1" s="88"/>
      <c r="L1" s="88"/>
      <c r="M1" s="88"/>
      <c r="N1" s="88"/>
      <c r="O1" s="88"/>
      <c r="P1" s="88"/>
    </row>
    <row r="2" spans="1:16" x14ac:dyDescent="0.25">
      <c r="A2" s="88"/>
      <c r="C2" s="88"/>
      <c r="D2" s="88"/>
      <c r="E2" s="5"/>
      <c r="F2" s="5"/>
      <c r="G2" s="106"/>
      <c r="H2" s="106"/>
      <c r="I2" s="88"/>
      <c r="J2" s="88"/>
      <c r="K2" s="88"/>
      <c r="L2" s="88"/>
      <c r="M2" s="88"/>
      <c r="N2" s="88"/>
      <c r="O2" s="88"/>
      <c r="P2" s="88"/>
    </row>
    <row r="3" spans="1:16" x14ac:dyDescent="0.25">
      <c r="A3" s="2" t="s">
        <v>10</v>
      </c>
      <c r="B3" s="234"/>
      <c r="C3" s="101">
        <v>2021</v>
      </c>
      <c r="D3" s="101">
        <f>C3+1</f>
        <v>2022</v>
      </c>
      <c r="E3" s="101">
        <f t="shared" ref="E3:N3" si="0">D3+1</f>
        <v>2023</v>
      </c>
      <c r="F3" s="101">
        <f t="shared" si="0"/>
        <v>2024</v>
      </c>
      <c r="G3" s="101">
        <f t="shared" si="0"/>
        <v>2025</v>
      </c>
      <c r="H3" s="101">
        <f t="shared" si="0"/>
        <v>2026</v>
      </c>
      <c r="I3" s="101">
        <f t="shared" si="0"/>
        <v>2027</v>
      </c>
      <c r="J3" s="101">
        <f t="shared" si="0"/>
        <v>2028</v>
      </c>
      <c r="K3" s="101">
        <f t="shared" si="0"/>
        <v>2029</v>
      </c>
      <c r="L3" s="101">
        <f t="shared" si="0"/>
        <v>2030</v>
      </c>
      <c r="M3" s="101">
        <f t="shared" si="0"/>
        <v>2031</v>
      </c>
      <c r="N3" s="101">
        <f t="shared" si="0"/>
        <v>2032</v>
      </c>
      <c r="O3" s="88"/>
      <c r="P3" s="88"/>
    </row>
    <row r="4" spans="1:16" x14ac:dyDescent="0.25">
      <c r="A4" s="1" t="s">
        <v>11</v>
      </c>
      <c r="B4" s="235"/>
      <c r="C4" s="91">
        <v>152.67025000000001</v>
      </c>
      <c r="D4" s="91">
        <v>259.43932812499997</v>
      </c>
      <c r="E4" s="91">
        <v>264.26100000000002</v>
      </c>
      <c r="F4" s="91">
        <v>264.26100000000002</v>
      </c>
      <c r="G4" s="91">
        <v>264.26100000000002</v>
      </c>
      <c r="H4" s="91">
        <v>228.79819531250001</v>
      </c>
      <c r="I4" s="91">
        <v>178.08156249999999</v>
      </c>
      <c r="J4" s="91">
        <v>146.58880468749999</v>
      </c>
      <c r="K4" s="91">
        <v>124.891953125</v>
      </c>
      <c r="L4" s="91">
        <v>106.49487109375001</v>
      </c>
      <c r="M4" s="91">
        <v>92.668773437499993</v>
      </c>
      <c r="N4" s="91">
        <v>82.336589843750005</v>
      </c>
      <c r="O4" s="88"/>
      <c r="P4" s="88"/>
    </row>
    <row r="5" spans="1:16" ht="17.25" x14ac:dyDescent="0.25">
      <c r="A5" s="1" t="s">
        <v>12</v>
      </c>
      <c r="B5" s="236"/>
      <c r="C5" s="95">
        <f t="shared" ref="C5:N5" si="1">(C4/24*1000000)/1000*0.028316847</f>
        <v>180.13083794590625</v>
      </c>
      <c r="D5" s="95">
        <f t="shared" si="1"/>
        <v>306.10432334576751</v>
      </c>
      <c r="E5" s="95">
        <f t="shared" si="1"/>
        <v>311.79326271112501</v>
      </c>
      <c r="F5" s="95">
        <f t="shared" si="1"/>
        <v>311.79326271112501</v>
      </c>
      <c r="G5" s="95">
        <f t="shared" si="1"/>
        <v>311.79326271112501</v>
      </c>
      <c r="H5" s="95">
        <f t="shared" si="1"/>
        <v>269.95181210584082</v>
      </c>
      <c r="I5" s="95">
        <f t="shared" si="1"/>
        <v>210.11284828472657</v>
      </c>
      <c r="J5" s="95">
        <f t="shared" si="1"/>
        <v>172.95553142703415</v>
      </c>
      <c r="K5" s="95">
        <f t="shared" si="1"/>
        <v>147.35609700715818</v>
      </c>
      <c r="L5" s="95">
        <f t="shared" si="1"/>
        <v>125.64995712693506</v>
      </c>
      <c r="M5" s="95">
        <f t="shared" si="1"/>
        <v>109.33697829613963</v>
      </c>
      <c r="N5" s="95">
        <f t="shared" si="1"/>
        <v>97.146359046134279</v>
      </c>
      <c r="O5" s="88"/>
      <c r="P5" s="88"/>
    </row>
    <row r="6" spans="1:16" x14ac:dyDescent="0.25">
      <c r="A6" s="1"/>
      <c r="B6" s="237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8"/>
      <c r="P6" s="88"/>
    </row>
    <row r="7" spans="1:16" x14ac:dyDescent="0.25">
      <c r="A7" s="1" t="s">
        <v>13</v>
      </c>
      <c r="B7" s="237"/>
      <c r="C7" s="97">
        <v>0.04</v>
      </c>
      <c r="D7" s="97">
        <v>0.04</v>
      </c>
      <c r="E7" s="97">
        <v>0.04</v>
      </c>
      <c r="F7" s="97">
        <v>0.04</v>
      </c>
      <c r="G7" s="97">
        <v>0.04</v>
      </c>
      <c r="H7" s="97">
        <v>0.04</v>
      </c>
      <c r="I7" s="97">
        <v>0.04</v>
      </c>
      <c r="J7" s="97">
        <v>0.04</v>
      </c>
      <c r="K7" s="97">
        <v>0.04</v>
      </c>
      <c r="L7" s="97">
        <v>0.04</v>
      </c>
      <c r="M7" s="97">
        <v>0.04</v>
      </c>
      <c r="N7" s="97">
        <v>0.04</v>
      </c>
      <c r="O7" s="88"/>
      <c r="P7" s="88"/>
    </row>
    <row r="8" spans="1:16" x14ac:dyDescent="0.25">
      <c r="A8" s="1" t="s">
        <v>14</v>
      </c>
      <c r="B8" s="238"/>
      <c r="C8" s="97">
        <v>2.8897340598113899E-2</v>
      </c>
      <c r="D8" s="97">
        <v>2.8893005620590499E-2</v>
      </c>
      <c r="E8" s="97">
        <v>2.8881718025212999E-2</v>
      </c>
      <c r="F8" s="97">
        <v>2.8881718025212999E-2</v>
      </c>
      <c r="G8" s="97">
        <v>2.8881718025212999E-2</v>
      </c>
      <c r="H8" s="97">
        <v>2.8803854766607899E-2</v>
      </c>
      <c r="I8" s="97">
        <v>2.88952125193386E-2</v>
      </c>
      <c r="J8" s="97">
        <v>2.8821266598573501E-2</v>
      </c>
      <c r="K8" s="97">
        <v>2.8840037838923901E-2</v>
      </c>
      <c r="L8" s="97">
        <v>2.8857848207557001E-2</v>
      </c>
      <c r="M8" s="97">
        <v>2.8820984582097298E-2</v>
      </c>
      <c r="N8" s="97">
        <v>2.87903601475651E-2</v>
      </c>
      <c r="O8" s="88"/>
      <c r="P8" s="88"/>
    </row>
    <row r="9" spans="1:16" x14ac:dyDescent="0.25">
      <c r="A9" s="1"/>
      <c r="B9" s="23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8"/>
      <c r="P9" s="88"/>
    </row>
    <row r="10" spans="1:16" s="88" customFormat="1" x14ac:dyDescent="0.25">
      <c r="A10" s="2" t="s">
        <v>131</v>
      </c>
      <c r="B10" s="23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6" x14ac:dyDescent="0.25">
      <c r="A11" s="1" t="s">
        <v>15</v>
      </c>
      <c r="B11" s="237"/>
      <c r="C11" s="95">
        <f t="shared" ref="C11:N11" si="2">(C12*24/1000000)*1000/0.028316847</f>
        <v>43.686747076051596</v>
      </c>
      <c r="D11" s="95">
        <f t="shared" si="2"/>
        <v>74.267813383560636</v>
      </c>
      <c r="E11" s="95">
        <f t="shared" si="2"/>
        <v>75.724956519051233</v>
      </c>
      <c r="F11" s="95">
        <f t="shared" si="2"/>
        <v>75.724956519051233</v>
      </c>
      <c r="G11" s="95">
        <f t="shared" si="2"/>
        <v>75.724956519051233</v>
      </c>
      <c r="H11" s="95">
        <f t="shared" si="2"/>
        <v>66.022108862287681</v>
      </c>
      <c r="I11" s="95">
        <f t="shared" si="2"/>
        <v>50.967987262541783</v>
      </c>
      <c r="J11" s="95">
        <f t="shared" si="2"/>
        <v>42.233947609158285</v>
      </c>
      <c r="K11" s="95">
        <f t="shared" si="2"/>
        <v>35.922409048914687</v>
      </c>
      <c r="L11" s="95">
        <f t="shared" si="2"/>
        <v>30.582010794928166</v>
      </c>
      <c r="M11" s="95">
        <f t="shared" si="2"/>
        <v>26.699630077730543</v>
      </c>
      <c r="N11" s="95">
        <f t="shared" si="2"/>
        <v>23.787719557373372</v>
      </c>
      <c r="O11" s="88"/>
      <c r="P11" s="88"/>
    </row>
    <row r="12" spans="1:16" ht="17.25" x14ac:dyDescent="0.25">
      <c r="A12" s="1" t="s">
        <v>16</v>
      </c>
      <c r="B12" s="237"/>
      <c r="C12" s="95">
        <f t="shared" ref="C12:N12" si="3">((1-(C8/C7))*C5)/C14</f>
        <v>51.544622203343756</v>
      </c>
      <c r="D12" s="95">
        <f t="shared" si="3"/>
        <v>87.626262858618261</v>
      </c>
      <c r="E12" s="95">
        <f t="shared" si="3"/>
        <v>89.345500326317776</v>
      </c>
      <c r="F12" s="95">
        <f t="shared" si="3"/>
        <v>89.345500326317776</v>
      </c>
      <c r="G12" s="95">
        <f t="shared" si="3"/>
        <v>89.345500326317776</v>
      </c>
      <c r="H12" s="95">
        <f t="shared" si="3"/>
        <v>77.897414802947665</v>
      </c>
      <c r="I12" s="95">
        <f t="shared" si="3"/>
        <v>60.135529050472684</v>
      </c>
      <c r="J12" s="95">
        <f t="shared" si="3"/>
        <v>49.830509693939625</v>
      </c>
      <c r="K12" s="95">
        <f t="shared" si="3"/>
        <v>42.383723371230531</v>
      </c>
      <c r="L12" s="95">
        <f t="shared" si="3"/>
        <v>36.082755026347051</v>
      </c>
      <c r="M12" s="95">
        <f t="shared" si="3"/>
        <v>31.502055827820573</v>
      </c>
      <c r="N12" s="95">
        <f t="shared" si="3"/>
        <v>28.066383966043727</v>
      </c>
      <c r="O12" s="88"/>
      <c r="P12" s="88"/>
    </row>
    <row r="13" spans="1:16" x14ac:dyDescent="0.25">
      <c r="A13" s="1" t="s">
        <v>17</v>
      </c>
      <c r="B13" s="237"/>
      <c r="C13" s="91">
        <f>0.00124858650930531*1000000</f>
        <v>1248.5865093053101</v>
      </c>
      <c r="D13" s="91">
        <f>0.00124858650930531*1000000</f>
        <v>1248.5865093053101</v>
      </c>
      <c r="E13" s="91">
        <f>0.00124858650930531*1000000</f>
        <v>1248.5865093053101</v>
      </c>
      <c r="F13" s="91">
        <f t="shared" ref="F13:N13" si="4">0.00124858650930531*1000000</f>
        <v>1248.5865093053101</v>
      </c>
      <c r="G13" s="91">
        <f t="shared" si="4"/>
        <v>1248.5865093053101</v>
      </c>
      <c r="H13" s="91">
        <f>0.00124858650930531*1000000</f>
        <v>1248.5865093053101</v>
      </c>
      <c r="I13" s="91">
        <f>0.00124858650930531*1000000</f>
        <v>1248.5865093053101</v>
      </c>
      <c r="J13" s="91">
        <f>0.00124858650930531*1000000</f>
        <v>1248.5865093053101</v>
      </c>
      <c r="K13" s="91">
        <f t="shared" si="4"/>
        <v>1248.5865093053101</v>
      </c>
      <c r="L13" s="91">
        <f>0.00124858650930531*1000000</f>
        <v>1248.5865093053101</v>
      </c>
      <c r="M13" s="91">
        <f>0.00124858650930531*1000000</f>
        <v>1248.5865093053101</v>
      </c>
      <c r="N13" s="91">
        <f t="shared" si="4"/>
        <v>1248.5865093053101</v>
      </c>
      <c r="O13" s="102"/>
      <c r="P13" s="88"/>
    </row>
    <row r="14" spans="1:16" x14ac:dyDescent="0.25">
      <c r="A14" s="1" t="s">
        <v>33</v>
      </c>
      <c r="B14" s="239"/>
      <c r="C14" s="92">
        <v>0.97</v>
      </c>
      <c r="D14" s="92">
        <v>0.97</v>
      </c>
      <c r="E14" s="92">
        <v>0.97</v>
      </c>
      <c r="F14" s="92">
        <v>0.97</v>
      </c>
      <c r="G14" s="92">
        <v>0.97</v>
      </c>
      <c r="H14" s="92">
        <v>0.97</v>
      </c>
      <c r="I14" s="92">
        <v>0.97</v>
      </c>
      <c r="J14" s="92">
        <v>0.97</v>
      </c>
      <c r="K14" s="92">
        <v>0.97</v>
      </c>
      <c r="L14" s="92">
        <v>0.97</v>
      </c>
      <c r="M14" s="92">
        <v>0.97</v>
      </c>
      <c r="N14" s="92">
        <v>0.97</v>
      </c>
      <c r="O14" s="88"/>
      <c r="P14" s="88"/>
    </row>
    <row r="15" spans="1:16" x14ac:dyDescent="0.25">
      <c r="A15" s="1" t="s">
        <v>18</v>
      </c>
      <c r="B15" s="240"/>
      <c r="C15" s="96">
        <f t="shared" ref="C15:N15" si="5">C12*1000*101.325*C7*C14*C17/(8.3145*288.71)</f>
        <v>3715.1995907386295</v>
      </c>
      <c r="D15" s="96">
        <f t="shared" si="5"/>
        <v>6315.8685037209443</v>
      </c>
      <c r="E15" s="96">
        <f t="shared" si="5"/>
        <v>6439.7865782619092</v>
      </c>
      <c r="F15" s="96">
        <f t="shared" si="5"/>
        <v>6439.7865782619092</v>
      </c>
      <c r="G15" s="96">
        <f t="shared" si="5"/>
        <v>6439.7865782619092</v>
      </c>
      <c r="H15" s="96">
        <f t="shared" si="5"/>
        <v>5614.6389521259198</v>
      </c>
      <c r="I15" s="96">
        <f t="shared" si="5"/>
        <v>4334.4093596377916</v>
      </c>
      <c r="J15" s="96">
        <f t="shared" si="5"/>
        <v>3591.6509095921206</v>
      </c>
      <c r="K15" s="96">
        <f t="shared" si="5"/>
        <v>3054.9063120800233</v>
      </c>
      <c r="L15" s="96">
        <f t="shared" si="5"/>
        <v>2600.7492338921543</v>
      </c>
      <c r="M15" s="96">
        <f t="shared" si="5"/>
        <v>2270.58459090524</v>
      </c>
      <c r="N15" s="96">
        <f t="shared" si="5"/>
        <v>2022.9504799318258</v>
      </c>
      <c r="O15" s="88"/>
      <c r="P15" s="88"/>
    </row>
    <row r="16" spans="1:16" x14ac:dyDescent="0.25">
      <c r="A16" s="1" t="s">
        <v>128</v>
      </c>
      <c r="B16" s="240"/>
      <c r="C16" s="96">
        <f>C15*30*24/1000</f>
        <v>2674.9437053318129</v>
      </c>
      <c r="D16" s="96">
        <f t="shared" ref="D16:N16" si="6">D15*30*24/1000</f>
        <v>4547.4253226790797</v>
      </c>
      <c r="E16" s="96">
        <f t="shared" si="6"/>
        <v>4636.6463363485746</v>
      </c>
      <c r="F16" s="96">
        <f t="shared" si="6"/>
        <v>4636.6463363485746</v>
      </c>
      <c r="G16" s="96">
        <f t="shared" si="6"/>
        <v>4636.6463363485746</v>
      </c>
      <c r="H16" s="96">
        <f t="shared" si="6"/>
        <v>4042.5400455306622</v>
      </c>
      <c r="I16" s="96">
        <f t="shared" si="6"/>
        <v>3120.7747389392098</v>
      </c>
      <c r="J16" s="96">
        <f t="shared" si="6"/>
        <v>2585.9886549063267</v>
      </c>
      <c r="K16" s="96">
        <f t="shared" si="6"/>
        <v>2199.5325446976171</v>
      </c>
      <c r="L16" s="96">
        <f t="shared" si="6"/>
        <v>1872.5394484023511</v>
      </c>
      <c r="M16" s="96">
        <f t="shared" si="6"/>
        <v>1634.8209054517729</v>
      </c>
      <c r="N16" s="96">
        <f t="shared" si="6"/>
        <v>1456.5243455509146</v>
      </c>
      <c r="O16" s="88"/>
      <c r="P16" s="88"/>
    </row>
    <row r="17" spans="1:16" x14ac:dyDescent="0.25">
      <c r="A17" s="1" t="s">
        <v>20</v>
      </c>
      <c r="B17" s="237"/>
      <c r="C17" s="90">
        <v>44.009700775146499</v>
      </c>
      <c r="D17" s="90">
        <v>44.009700775146499</v>
      </c>
      <c r="E17" s="90">
        <v>44.009700775146499</v>
      </c>
      <c r="F17" s="90">
        <v>44.009700775146499</v>
      </c>
      <c r="G17" s="90">
        <v>44.009700775146499</v>
      </c>
      <c r="H17" s="90">
        <v>44.009700775146499</v>
      </c>
      <c r="I17" s="90">
        <v>44.009700775146499</v>
      </c>
      <c r="J17" s="90">
        <v>44.009700775146499</v>
      </c>
      <c r="K17" s="90">
        <v>44.009700775146499</v>
      </c>
      <c r="L17" s="90">
        <v>44.009700775146499</v>
      </c>
      <c r="M17" s="90">
        <v>44.009700775146499</v>
      </c>
      <c r="N17" s="90">
        <v>44.009700775146499</v>
      </c>
      <c r="O17" s="88"/>
      <c r="P17" s="88"/>
    </row>
    <row r="18" spans="1:16" x14ac:dyDescent="0.25">
      <c r="A18" s="1" t="s">
        <v>23</v>
      </c>
      <c r="B18" s="237"/>
      <c r="C18" s="90">
        <f t="shared" ref="C18:N18" si="7">(C15/C17)*0.01*C19</f>
        <v>13.543054095332733</v>
      </c>
      <c r="D18" s="90">
        <f t="shared" si="7"/>
        <v>23.023298403167423</v>
      </c>
      <c r="E18" s="90">
        <f t="shared" si="7"/>
        <v>23.475018195310302</v>
      </c>
      <c r="F18" s="90">
        <f t="shared" si="7"/>
        <v>23.475018195310302</v>
      </c>
      <c r="G18" s="90">
        <f t="shared" si="7"/>
        <v>23.475018195310302</v>
      </c>
      <c r="H18" s="90">
        <f t="shared" si="7"/>
        <v>20.46709932999482</v>
      </c>
      <c r="I18" s="90">
        <f t="shared" si="7"/>
        <v>15.80026563720109</v>
      </c>
      <c r="J18" s="90">
        <f t="shared" si="7"/>
        <v>13.092680856612192</v>
      </c>
      <c r="K18" s="90">
        <f t="shared" si="7"/>
        <v>11.136080425883053</v>
      </c>
      <c r="L18" s="90">
        <f t="shared" si="7"/>
        <v>9.4805371024478404</v>
      </c>
      <c r="M18" s="90">
        <f t="shared" si="7"/>
        <v>8.2769846388104771</v>
      </c>
      <c r="N18" s="90">
        <f t="shared" si="7"/>
        <v>7.3742815460552871</v>
      </c>
      <c r="O18" s="88"/>
      <c r="P18" s="88"/>
    </row>
    <row r="19" spans="1:16" x14ac:dyDescent="0.25">
      <c r="A19" s="1" t="s">
        <v>22</v>
      </c>
      <c r="B19" s="237"/>
      <c r="C19" s="90">
        <v>16.042900085449201</v>
      </c>
      <c r="D19" s="90">
        <v>16.042900085449201</v>
      </c>
      <c r="E19" s="90">
        <v>16.042900085449201</v>
      </c>
      <c r="F19" s="90">
        <v>16.042900085449201</v>
      </c>
      <c r="G19" s="90">
        <v>16.042900085449201</v>
      </c>
      <c r="H19" s="90">
        <v>16.042900085449201</v>
      </c>
      <c r="I19" s="90">
        <v>16.042900085449201</v>
      </c>
      <c r="J19" s="90">
        <v>16.042900085449201</v>
      </c>
      <c r="K19" s="90">
        <v>16.042900085449201</v>
      </c>
      <c r="L19" s="90">
        <v>16.042900085449201</v>
      </c>
      <c r="M19" s="90">
        <v>16.042900085449201</v>
      </c>
      <c r="N19" s="90">
        <v>16.042900085449201</v>
      </c>
      <c r="O19" s="88"/>
      <c r="P19" s="88"/>
    </row>
    <row r="20" spans="1:16" x14ac:dyDescent="0.25">
      <c r="A20" s="1" t="s">
        <v>24</v>
      </c>
      <c r="B20" s="237"/>
      <c r="C20" s="90">
        <f t="shared" ref="C20:N20" si="8">(C15/C17)*0.0005*C21</f>
        <v>3.2969349619397219</v>
      </c>
      <c r="D20" s="90">
        <f t="shared" si="8"/>
        <v>5.6048153474283797</v>
      </c>
      <c r="E20" s="90">
        <f t="shared" si="8"/>
        <v>5.7147824763516279</v>
      </c>
      <c r="F20" s="90">
        <f t="shared" si="8"/>
        <v>5.7147824763516279</v>
      </c>
      <c r="G20" s="90">
        <f t="shared" si="8"/>
        <v>5.7147824763516279</v>
      </c>
      <c r="H20" s="90">
        <f t="shared" si="8"/>
        <v>4.9825316265854527</v>
      </c>
      <c r="I20" s="90">
        <f t="shared" si="8"/>
        <v>3.8464328518908752</v>
      </c>
      <c r="J20" s="90">
        <f t="shared" si="8"/>
        <v>3.1872956393609626</v>
      </c>
      <c r="K20" s="90">
        <f t="shared" si="8"/>
        <v>2.7109788262397396</v>
      </c>
      <c r="L20" s="90">
        <f t="shared" si="8"/>
        <v>2.307951663709209</v>
      </c>
      <c r="M20" s="90">
        <f t="shared" si="8"/>
        <v>2.0149576190895253</v>
      </c>
      <c r="N20" s="90">
        <f t="shared" si="8"/>
        <v>1.7952026534956598</v>
      </c>
      <c r="O20" s="88"/>
      <c r="P20" s="88"/>
    </row>
    <row r="21" spans="1:16" x14ac:dyDescent="0.25">
      <c r="A21" s="1" t="s">
        <v>21</v>
      </c>
      <c r="B21" s="237"/>
      <c r="C21" s="90">
        <v>78.110000610351605</v>
      </c>
      <c r="D21" s="90">
        <v>78.110000610351605</v>
      </c>
      <c r="E21" s="90">
        <v>78.110000610351605</v>
      </c>
      <c r="F21" s="90">
        <v>78.110000610351605</v>
      </c>
      <c r="G21" s="90">
        <v>78.110000610351605</v>
      </c>
      <c r="H21" s="90">
        <v>78.110000610351605</v>
      </c>
      <c r="I21" s="90">
        <v>78.110000610351605</v>
      </c>
      <c r="J21" s="90">
        <v>78.110000610351605</v>
      </c>
      <c r="K21" s="90">
        <v>78.110000610351605</v>
      </c>
      <c r="L21" s="90">
        <v>78.110000610351605</v>
      </c>
      <c r="M21" s="90">
        <v>78.110000610351605</v>
      </c>
      <c r="N21" s="90">
        <v>78.110000610351605</v>
      </c>
      <c r="O21" s="88"/>
      <c r="P21" s="88"/>
    </row>
    <row r="22" spans="1:16" x14ac:dyDescent="0.25">
      <c r="A22" s="1"/>
      <c r="B22" s="23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8"/>
      <c r="P22" s="88"/>
    </row>
    <row r="23" spans="1:16" x14ac:dyDescent="0.25">
      <c r="A23" s="2" t="s">
        <v>132</v>
      </c>
      <c r="B23" s="237"/>
      <c r="C23" s="89" t="s">
        <v>0</v>
      </c>
      <c r="D23" s="89" t="s">
        <v>0</v>
      </c>
      <c r="E23" s="89" t="s">
        <v>0</v>
      </c>
      <c r="F23" s="89" t="s">
        <v>0</v>
      </c>
      <c r="G23" s="89" t="s">
        <v>0</v>
      </c>
      <c r="H23" s="89" t="s">
        <v>0</v>
      </c>
      <c r="I23" s="89" t="s">
        <v>0</v>
      </c>
      <c r="J23" s="89" t="s">
        <v>0</v>
      </c>
      <c r="K23" s="89" t="s">
        <v>0</v>
      </c>
      <c r="L23" s="89" t="s">
        <v>0</v>
      </c>
      <c r="M23" s="89" t="s">
        <v>0</v>
      </c>
      <c r="N23" s="89" t="s">
        <v>0</v>
      </c>
      <c r="O23" s="88"/>
      <c r="P23" s="88"/>
    </row>
    <row r="24" spans="1:16" x14ac:dyDescent="0.25">
      <c r="A24" s="1" t="s">
        <v>5</v>
      </c>
      <c r="B24" s="237"/>
      <c r="C24" s="89">
        <f t="shared" ref="C24:N24" si="9">C11</f>
        <v>43.686747076051596</v>
      </c>
      <c r="D24" s="89">
        <f t="shared" si="9"/>
        <v>74.267813383560636</v>
      </c>
      <c r="E24" s="89">
        <f t="shared" si="9"/>
        <v>75.724956519051233</v>
      </c>
      <c r="F24" s="89">
        <f t="shared" si="9"/>
        <v>75.724956519051233</v>
      </c>
      <c r="G24" s="89">
        <f t="shared" si="9"/>
        <v>75.724956519051233</v>
      </c>
      <c r="H24" s="89">
        <f t="shared" si="9"/>
        <v>66.022108862287681</v>
      </c>
      <c r="I24" s="89">
        <f t="shared" si="9"/>
        <v>50.967987262541783</v>
      </c>
      <c r="J24" s="89">
        <f t="shared" si="9"/>
        <v>42.233947609158285</v>
      </c>
      <c r="K24" s="89">
        <f t="shared" si="9"/>
        <v>35.922409048914687</v>
      </c>
      <c r="L24" s="89">
        <f t="shared" si="9"/>
        <v>30.582010794928166</v>
      </c>
      <c r="M24" s="89">
        <f t="shared" si="9"/>
        <v>26.699630077730543</v>
      </c>
      <c r="N24" s="89">
        <f t="shared" si="9"/>
        <v>23.787719557373372</v>
      </c>
      <c r="O24" s="88"/>
      <c r="P24" s="88"/>
    </row>
    <row r="25" spans="1:16" ht="17.25" x14ac:dyDescent="0.25">
      <c r="A25" s="1" t="s">
        <v>2</v>
      </c>
      <c r="B25" s="241"/>
      <c r="C25" s="90">
        <f t="shared" ref="C25:N25" si="10">C24*0.3048^3</f>
        <v>1.2370709150560577</v>
      </c>
      <c r="D25" s="90">
        <f t="shared" si="10"/>
        <v>2.1030302783055714</v>
      </c>
      <c r="E25" s="90">
        <f t="shared" si="10"/>
        <v>2.1442919769358446</v>
      </c>
      <c r="F25" s="90">
        <f t="shared" si="10"/>
        <v>2.1442919769358446</v>
      </c>
      <c r="G25" s="90">
        <f t="shared" si="10"/>
        <v>2.1442919769358446</v>
      </c>
      <c r="H25" s="90">
        <f t="shared" si="10"/>
        <v>1.8695379283337241</v>
      </c>
      <c r="I25" s="90">
        <f t="shared" si="10"/>
        <v>1.443252676416406</v>
      </c>
      <c r="J25" s="90">
        <f t="shared" si="10"/>
        <v>1.1959322154231005</v>
      </c>
      <c r="K25" s="90">
        <f t="shared" si="10"/>
        <v>1.0172093462531899</v>
      </c>
      <c r="L25" s="90">
        <f t="shared" si="10"/>
        <v>0.86598610815486898</v>
      </c>
      <c r="M25" s="90">
        <f t="shared" si="10"/>
        <v>0.75604932897424493</v>
      </c>
      <c r="N25" s="90">
        <f t="shared" si="10"/>
        <v>0.67359320547965995</v>
      </c>
      <c r="O25" s="88"/>
      <c r="P25" s="88"/>
    </row>
    <row r="26" spans="1:16" x14ac:dyDescent="0.25">
      <c r="A26" s="1" t="s">
        <v>8</v>
      </c>
      <c r="B26" s="241"/>
      <c r="C26" s="90">
        <v>12101.325000000001</v>
      </c>
      <c r="D26" s="90">
        <v>12101.325000000001</v>
      </c>
      <c r="E26" s="90">
        <v>12101.325000000001</v>
      </c>
      <c r="F26" s="90">
        <v>12101.325000000001</v>
      </c>
      <c r="G26" s="90">
        <v>12101.325000000001</v>
      </c>
      <c r="H26" s="90">
        <v>12101.325000000001</v>
      </c>
      <c r="I26" s="90">
        <v>12101.325000000001</v>
      </c>
      <c r="J26" s="90">
        <v>12101.325000000001</v>
      </c>
      <c r="K26" s="90">
        <v>12101.325000000001</v>
      </c>
      <c r="L26" s="90">
        <v>12101.325000000001</v>
      </c>
      <c r="M26" s="90">
        <v>12101.325000000001</v>
      </c>
      <c r="N26" s="90">
        <v>12101.325000000001</v>
      </c>
      <c r="O26" s="88"/>
      <c r="P26" s="88"/>
    </row>
    <row r="27" spans="1:16" ht="17.25" x14ac:dyDescent="0.25">
      <c r="A27" s="1" t="s">
        <v>1</v>
      </c>
      <c r="B27" s="237"/>
      <c r="C27" s="89">
        <f t="shared" ref="C27:N27" si="11">4.28+0.00033</f>
        <v>4.2803300000000002</v>
      </c>
      <c r="D27" s="89">
        <f t="shared" si="11"/>
        <v>4.2803300000000002</v>
      </c>
      <c r="E27" s="89">
        <f t="shared" si="11"/>
        <v>4.2803300000000002</v>
      </c>
      <c r="F27" s="89">
        <f t="shared" si="11"/>
        <v>4.2803300000000002</v>
      </c>
      <c r="G27" s="89">
        <f t="shared" si="11"/>
        <v>4.2803300000000002</v>
      </c>
      <c r="H27" s="89">
        <f t="shared" si="11"/>
        <v>4.2803300000000002</v>
      </c>
      <c r="I27" s="89">
        <f t="shared" si="11"/>
        <v>4.2803300000000002</v>
      </c>
      <c r="J27" s="89">
        <f t="shared" si="11"/>
        <v>4.2803300000000002</v>
      </c>
      <c r="K27" s="89">
        <f t="shared" si="11"/>
        <v>4.2803300000000002</v>
      </c>
      <c r="L27" s="89">
        <f t="shared" si="11"/>
        <v>4.2803300000000002</v>
      </c>
      <c r="M27" s="89">
        <f t="shared" si="11"/>
        <v>4.2803300000000002</v>
      </c>
      <c r="N27" s="89">
        <f t="shared" si="11"/>
        <v>4.2803300000000002</v>
      </c>
      <c r="O27" s="88"/>
      <c r="P27" s="88"/>
    </row>
    <row r="28" spans="1:16" x14ac:dyDescent="0.25">
      <c r="A28" s="1" t="s">
        <v>3</v>
      </c>
      <c r="B28" s="237"/>
      <c r="C28" s="89">
        <v>20</v>
      </c>
      <c r="D28" s="89">
        <v>20</v>
      </c>
      <c r="E28" s="89">
        <v>20</v>
      </c>
      <c r="F28" s="89">
        <v>20</v>
      </c>
      <c r="G28" s="89">
        <v>20</v>
      </c>
      <c r="H28" s="89">
        <v>20</v>
      </c>
      <c r="I28" s="89">
        <v>20</v>
      </c>
      <c r="J28" s="89">
        <v>20</v>
      </c>
      <c r="K28" s="89">
        <v>20</v>
      </c>
      <c r="L28" s="89">
        <v>20</v>
      </c>
      <c r="M28" s="89">
        <v>20</v>
      </c>
      <c r="N28" s="89">
        <v>20</v>
      </c>
      <c r="O28" s="88"/>
      <c r="P28" s="88"/>
    </row>
    <row r="29" spans="1:16" x14ac:dyDescent="0.25">
      <c r="A29" s="1" t="s">
        <v>4</v>
      </c>
      <c r="B29" s="241"/>
      <c r="C29" s="90">
        <v>0.33</v>
      </c>
      <c r="D29" s="90">
        <v>0.33</v>
      </c>
      <c r="E29" s="90">
        <v>0.33</v>
      </c>
      <c r="F29" s="90">
        <v>0.33</v>
      </c>
      <c r="G29" s="90">
        <v>0.33</v>
      </c>
      <c r="H29" s="90">
        <v>0.33</v>
      </c>
      <c r="I29" s="90">
        <v>0.33</v>
      </c>
      <c r="J29" s="90">
        <v>0.33</v>
      </c>
      <c r="K29" s="90">
        <v>0.33</v>
      </c>
      <c r="L29" s="90">
        <v>0.33</v>
      </c>
      <c r="M29" s="90">
        <v>0.33</v>
      </c>
      <c r="N29" s="90">
        <v>0.33</v>
      </c>
      <c r="O29" s="88"/>
      <c r="P29" s="88"/>
    </row>
    <row r="30" spans="1:16" ht="17.25" x14ac:dyDescent="0.25">
      <c r="A30" s="1" t="s">
        <v>19</v>
      </c>
      <c r="B30" s="241"/>
      <c r="C30" s="90">
        <f t="shared" ref="C30:N30" si="12">328*(C25*C27/C28)</f>
        <v>86.839176697407083</v>
      </c>
      <c r="D30" s="90">
        <f t="shared" si="12"/>
        <v>147.62728289469086</v>
      </c>
      <c r="E30" s="90">
        <f t="shared" si="12"/>
        <v>150.52374735325998</v>
      </c>
      <c r="F30" s="90">
        <f t="shared" si="12"/>
        <v>150.52374735325998</v>
      </c>
      <c r="G30" s="90">
        <f t="shared" si="12"/>
        <v>150.52374735325998</v>
      </c>
      <c r="H30" s="90">
        <f t="shared" si="12"/>
        <v>131.23672420486889</v>
      </c>
      <c r="I30" s="90">
        <f t="shared" si="12"/>
        <v>101.31260274650514</v>
      </c>
      <c r="J30" s="90">
        <f t="shared" si="12"/>
        <v>83.951346450128142</v>
      </c>
      <c r="K30" s="90">
        <f t="shared" si="12"/>
        <v>71.405463569185827</v>
      </c>
      <c r="L30" s="90">
        <f t="shared" si="12"/>
        <v>60.789983620423904</v>
      </c>
      <c r="M30" s="90">
        <f t="shared" si="12"/>
        <v>53.072706238328607</v>
      </c>
      <c r="N30" s="90">
        <f t="shared" si="12"/>
        <v>47.284499765456353</v>
      </c>
      <c r="O30" s="88"/>
      <c r="P30" s="88"/>
    </row>
    <row r="31" spans="1:16" ht="17.25" x14ac:dyDescent="0.25">
      <c r="A31" s="1" t="s">
        <v>6</v>
      </c>
      <c r="B31" s="241"/>
      <c r="C31" s="90">
        <f t="shared" ref="C31:N31" si="13">C30*24</f>
        <v>2084.14024073777</v>
      </c>
      <c r="D31" s="90">
        <f t="shared" si="13"/>
        <v>3543.0547894725805</v>
      </c>
      <c r="E31" s="90">
        <f t="shared" si="13"/>
        <v>3612.5699364782395</v>
      </c>
      <c r="F31" s="90">
        <f t="shared" si="13"/>
        <v>3612.5699364782395</v>
      </c>
      <c r="G31" s="90">
        <f t="shared" si="13"/>
        <v>3612.5699364782395</v>
      </c>
      <c r="H31" s="90">
        <f t="shared" si="13"/>
        <v>3149.6813809168534</v>
      </c>
      <c r="I31" s="90">
        <f t="shared" si="13"/>
        <v>2431.5024659161231</v>
      </c>
      <c r="J31" s="90">
        <f t="shared" si="13"/>
        <v>2014.8323148030754</v>
      </c>
      <c r="K31" s="90">
        <f t="shared" si="13"/>
        <v>1713.7311256604598</v>
      </c>
      <c r="L31" s="90">
        <f t="shared" si="13"/>
        <v>1458.9596068901737</v>
      </c>
      <c r="M31" s="90">
        <f t="shared" si="13"/>
        <v>1273.7449497198866</v>
      </c>
      <c r="N31" s="90">
        <f t="shared" si="13"/>
        <v>1134.8279943709524</v>
      </c>
      <c r="O31" s="88"/>
      <c r="P31" s="88"/>
    </row>
    <row r="32" spans="1:16" x14ac:dyDescent="0.25">
      <c r="A32" s="1" t="s">
        <v>7</v>
      </c>
      <c r="B32" s="241"/>
      <c r="C32" s="90">
        <f t="shared" ref="C32:N32" si="14">C30*1000*0.264171952/60</f>
        <v>382.34124697044899</v>
      </c>
      <c r="D32" s="90">
        <f t="shared" si="14"/>
        <v>649.98312484577821</v>
      </c>
      <c r="E32" s="90">
        <f t="shared" si="14"/>
        <v>662.73586934442528</v>
      </c>
      <c r="F32" s="90">
        <f t="shared" si="14"/>
        <v>662.73586934442528</v>
      </c>
      <c r="G32" s="90">
        <f t="shared" si="14"/>
        <v>662.73586934442528</v>
      </c>
      <c r="H32" s="90">
        <f t="shared" si="14"/>
        <v>577.81769345476437</v>
      </c>
      <c r="I32" s="90">
        <f t="shared" si="14"/>
        <v>446.065800495747</v>
      </c>
      <c r="J32" s="90">
        <f t="shared" si="14"/>
        <v>369.62651774597703</v>
      </c>
      <c r="K32" s="90">
        <f t="shared" si="14"/>
        <v>314.38867824227844</v>
      </c>
      <c r="L32" s="90">
        <f t="shared" si="14"/>
        <v>267.65014391759013</v>
      </c>
      <c r="M32" s="90">
        <f t="shared" si="14"/>
        <v>233.67200674836411</v>
      </c>
      <c r="N32" s="90">
        <f t="shared" si="14"/>
        <v>208.18731003973576</v>
      </c>
      <c r="O32" s="88"/>
      <c r="P32" s="88"/>
    </row>
    <row r="33" spans="1:16" x14ac:dyDescent="0.25">
      <c r="A33" s="1" t="s">
        <v>9</v>
      </c>
      <c r="B33" s="235"/>
      <c r="C33" s="91">
        <f t="shared" ref="C33:N33" si="15">10750*(C25/C26^0.5)^0.5</f>
        <v>1139.9807851766277</v>
      </c>
      <c r="D33" s="91">
        <f t="shared" si="15"/>
        <v>1486.3565311805601</v>
      </c>
      <c r="E33" s="91">
        <f t="shared" si="15"/>
        <v>1500.8669468949333</v>
      </c>
      <c r="F33" s="91">
        <f t="shared" si="15"/>
        <v>1500.8669468949333</v>
      </c>
      <c r="G33" s="91">
        <f t="shared" si="15"/>
        <v>1500.8669468949333</v>
      </c>
      <c r="H33" s="91">
        <f t="shared" si="15"/>
        <v>1401.4169735533928</v>
      </c>
      <c r="I33" s="91">
        <f t="shared" si="15"/>
        <v>1231.3213755826805</v>
      </c>
      <c r="J33" s="91">
        <f t="shared" si="15"/>
        <v>1120.8655351253635</v>
      </c>
      <c r="K33" s="91">
        <f t="shared" si="15"/>
        <v>1033.725915101804</v>
      </c>
      <c r="L33" s="91">
        <f t="shared" si="15"/>
        <v>953.79643688761871</v>
      </c>
      <c r="M33" s="91">
        <f t="shared" si="15"/>
        <v>891.20024906336835</v>
      </c>
      <c r="N33" s="91">
        <f t="shared" si="15"/>
        <v>841.19964737394821</v>
      </c>
      <c r="O33" s="88"/>
      <c r="P33" s="88"/>
    </row>
    <row r="34" spans="1:16" s="88" customFormat="1" x14ac:dyDescent="0.25">
      <c r="A34" s="1"/>
      <c r="B34" s="235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6" x14ac:dyDescent="0.25">
      <c r="A35" s="2" t="s">
        <v>133</v>
      </c>
      <c r="B35" s="237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8"/>
      <c r="P35" s="88"/>
    </row>
    <row r="36" spans="1:16" x14ac:dyDescent="0.25">
      <c r="A36" s="1" t="s">
        <v>25</v>
      </c>
      <c r="B36" s="241"/>
      <c r="C36" s="90">
        <f t="shared" ref="C36:N36" si="16">93*C30/1000</f>
        <v>8.0760434328588584</v>
      </c>
      <c r="D36" s="90">
        <f t="shared" si="16"/>
        <v>13.729337309206251</v>
      </c>
      <c r="E36" s="90">
        <f t="shared" si="16"/>
        <v>13.998708503853178</v>
      </c>
      <c r="F36" s="90">
        <f t="shared" si="16"/>
        <v>13.998708503853178</v>
      </c>
      <c r="G36" s="90">
        <f t="shared" si="16"/>
        <v>13.998708503853178</v>
      </c>
      <c r="H36" s="90">
        <f t="shared" si="16"/>
        <v>12.205015351052808</v>
      </c>
      <c r="I36" s="90">
        <f t="shared" si="16"/>
        <v>9.4220720554249784</v>
      </c>
      <c r="J36" s="90">
        <f t="shared" si="16"/>
        <v>7.8074752198619173</v>
      </c>
      <c r="K36" s="90">
        <f t="shared" si="16"/>
        <v>6.6407081119342823</v>
      </c>
      <c r="L36" s="90">
        <f t="shared" si="16"/>
        <v>5.6534684766994232</v>
      </c>
      <c r="M36" s="90">
        <f t="shared" si="16"/>
        <v>4.9357616801645605</v>
      </c>
      <c r="N36" s="90">
        <f t="shared" si="16"/>
        <v>4.3974584781874411</v>
      </c>
      <c r="O36" s="88"/>
      <c r="P36" s="88"/>
    </row>
    <row r="37" spans="1:16" x14ac:dyDescent="0.25">
      <c r="A37" s="1" t="s">
        <v>26</v>
      </c>
      <c r="B37" s="241"/>
      <c r="C37" s="90">
        <f t="shared" ref="C37:N37" si="17">C36/C38</f>
        <v>8.9733815920653974</v>
      </c>
      <c r="D37" s="90">
        <f t="shared" si="17"/>
        <v>15.254819232451389</v>
      </c>
      <c r="E37" s="90">
        <f t="shared" si="17"/>
        <v>15.554120559836864</v>
      </c>
      <c r="F37" s="90">
        <f t="shared" si="17"/>
        <v>15.554120559836864</v>
      </c>
      <c r="G37" s="90">
        <f t="shared" si="17"/>
        <v>15.554120559836864</v>
      </c>
      <c r="H37" s="90">
        <f t="shared" si="17"/>
        <v>13.561128167836452</v>
      </c>
      <c r="I37" s="90">
        <f t="shared" si="17"/>
        <v>10.468968950472197</v>
      </c>
      <c r="J37" s="90">
        <f t="shared" si="17"/>
        <v>8.6749724665132408</v>
      </c>
      <c r="K37" s="90">
        <f t="shared" si="17"/>
        <v>7.378564568815869</v>
      </c>
      <c r="L37" s="90">
        <f t="shared" si="17"/>
        <v>6.2816316407771371</v>
      </c>
      <c r="M37" s="90">
        <f t="shared" si="17"/>
        <v>5.4841796446272895</v>
      </c>
      <c r="N37" s="90">
        <f t="shared" si="17"/>
        <v>4.8860649757638237</v>
      </c>
      <c r="O37" s="88"/>
      <c r="P37" s="88"/>
    </row>
    <row r="38" spans="1:16" x14ac:dyDescent="0.25">
      <c r="A38" s="1" t="s">
        <v>34</v>
      </c>
      <c r="B38" s="239"/>
      <c r="C38" s="92">
        <v>0.9</v>
      </c>
      <c r="D38" s="92">
        <v>0.9</v>
      </c>
      <c r="E38" s="92">
        <v>0.9</v>
      </c>
      <c r="F38" s="92">
        <v>0.9</v>
      </c>
      <c r="G38" s="92">
        <v>0.9</v>
      </c>
      <c r="H38" s="92">
        <v>0.9</v>
      </c>
      <c r="I38" s="92">
        <v>0.9</v>
      </c>
      <c r="J38" s="92">
        <v>0.9</v>
      </c>
      <c r="K38" s="92">
        <v>0.9</v>
      </c>
      <c r="L38" s="92">
        <v>0.9</v>
      </c>
      <c r="M38" s="92">
        <v>0.9</v>
      </c>
      <c r="N38" s="92">
        <v>0.9</v>
      </c>
      <c r="O38" s="88"/>
      <c r="P38" s="88"/>
    </row>
    <row r="39" spans="1:16" x14ac:dyDescent="0.25">
      <c r="A39" s="1" t="s">
        <v>27</v>
      </c>
      <c r="B39" s="237"/>
      <c r="C39" s="93">
        <f t="shared" ref="C39:N39" si="18">49493.5728065773/1000</f>
        <v>49.493572806577298</v>
      </c>
      <c r="D39" s="93">
        <f t="shared" si="18"/>
        <v>49.493572806577298</v>
      </c>
      <c r="E39" s="93">
        <f t="shared" si="18"/>
        <v>49.493572806577298</v>
      </c>
      <c r="F39" s="93">
        <f t="shared" si="18"/>
        <v>49.493572806577298</v>
      </c>
      <c r="G39" s="93">
        <f t="shared" si="18"/>
        <v>49.493572806577298</v>
      </c>
      <c r="H39" s="93">
        <f t="shared" si="18"/>
        <v>49.493572806577298</v>
      </c>
      <c r="I39" s="93">
        <f t="shared" si="18"/>
        <v>49.493572806577298</v>
      </c>
      <c r="J39" s="93">
        <f t="shared" si="18"/>
        <v>49.493572806577298</v>
      </c>
      <c r="K39" s="93">
        <f t="shared" si="18"/>
        <v>49.493572806577298</v>
      </c>
      <c r="L39" s="93">
        <f t="shared" si="18"/>
        <v>49.493572806577298</v>
      </c>
      <c r="M39" s="93">
        <f t="shared" si="18"/>
        <v>49.493572806577298</v>
      </c>
      <c r="N39" s="93">
        <f t="shared" si="18"/>
        <v>49.493572806577298</v>
      </c>
      <c r="O39" s="88"/>
      <c r="P39" s="88"/>
    </row>
    <row r="40" spans="1:16" x14ac:dyDescent="0.25">
      <c r="A40" s="1" t="s">
        <v>28</v>
      </c>
      <c r="B40" s="237"/>
      <c r="C40" s="91">
        <f t="shared" ref="C40:N40" si="19">(C37/C39)*3600</f>
        <v>652.69431765779632</v>
      </c>
      <c r="D40" s="91">
        <f t="shared" si="19"/>
        <v>1109.5854698436101</v>
      </c>
      <c r="E40" s="91">
        <f t="shared" si="19"/>
        <v>1131.3556658001348</v>
      </c>
      <c r="F40" s="91">
        <f t="shared" si="19"/>
        <v>1131.3556658001348</v>
      </c>
      <c r="G40" s="91">
        <f t="shared" si="19"/>
        <v>1131.3556658001348</v>
      </c>
      <c r="H40" s="91">
        <f t="shared" si="19"/>
        <v>986.39194214169629</v>
      </c>
      <c r="I40" s="91">
        <f t="shared" si="19"/>
        <v>761.47843213879764</v>
      </c>
      <c r="J40" s="91">
        <f t="shared" si="19"/>
        <v>630.9890175335546</v>
      </c>
      <c r="K40" s="91">
        <f t="shared" si="19"/>
        <v>536.69256312421919</v>
      </c>
      <c r="L40" s="91">
        <f t="shared" si="19"/>
        <v>456.90526313736825</v>
      </c>
      <c r="M40" s="91">
        <f t="shared" si="19"/>
        <v>398.90122294898362</v>
      </c>
      <c r="N40" s="91">
        <f t="shared" si="19"/>
        <v>355.39632552880113</v>
      </c>
      <c r="O40" s="88"/>
      <c r="P40" s="88"/>
    </row>
    <row r="41" spans="1:16" x14ac:dyDescent="0.25">
      <c r="A41" s="1" t="s">
        <v>29</v>
      </c>
      <c r="B41" s="237"/>
      <c r="C41" s="93">
        <v>2.6255526396455386</v>
      </c>
      <c r="D41" s="93">
        <v>2.6255526396455386</v>
      </c>
      <c r="E41" s="93">
        <v>2.6255526396455386</v>
      </c>
      <c r="F41" s="93">
        <v>2.6255526396455386</v>
      </c>
      <c r="G41" s="93">
        <v>2.6255526396455386</v>
      </c>
      <c r="H41" s="93">
        <v>2.6255526396455386</v>
      </c>
      <c r="I41" s="93">
        <v>2.6255526396455386</v>
      </c>
      <c r="J41" s="93">
        <v>2.6255526396455386</v>
      </c>
      <c r="K41" s="93">
        <v>2.6255526396455386</v>
      </c>
      <c r="L41" s="93">
        <v>2.6255526396455386</v>
      </c>
      <c r="M41" s="93">
        <v>2.6255526396455386</v>
      </c>
      <c r="N41" s="93">
        <v>2.6255526396455386</v>
      </c>
      <c r="O41" s="88"/>
      <c r="P41" s="88"/>
    </row>
    <row r="42" spans="1:16" x14ac:dyDescent="0.25">
      <c r="A42" s="1" t="s">
        <v>135</v>
      </c>
      <c r="B42" s="237"/>
      <c r="C42" s="91">
        <f t="shared" ref="C42:N42" si="20">C40*C41</f>
        <v>1713.6832886080708</v>
      </c>
      <c r="D42" s="91">
        <f t="shared" si="20"/>
        <v>2913.2750592602256</v>
      </c>
      <c r="E42" s="91">
        <f t="shared" si="20"/>
        <v>2970.4338547194798</v>
      </c>
      <c r="F42" s="91">
        <f t="shared" si="20"/>
        <v>2970.4338547194798</v>
      </c>
      <c r="G42" s="91">
        <f t="shared" si="20"/>
        <v>2970.4338547194798</v>
      </c>
      <c r="H42" s="91">
        <f t="shared" si="20"/>
        <v>2589.8239674152201</v>
      </c>
      <c r="I42" s="91">
        <f t="shared" si="20"/>
        <v>1999.3017075351663</v>
      </c>
      <c r="J42" s="91">
        <f t="shared" si="20"/>
        <v>1656.6948805725694</v>
      </c>
      <c r="K42" s="91">
        <f t="shared" si="20"/>
        <v>1409.1145757889235</v>
      </c>
      <c r="L42" s="91">
        <f t="shared" si="20"/>
        <v>1199.6288196982566</v>
      </c>
      <c r="M42" s="91">
        <f t="shared" si="20"/>
        <v>1047.3361588715375</v>
      </c>
      <c r="N42" s="91">
        <f t="shared" si="20"/>
        <v>933.11176061246897</v>
      </c>
      <c r="O42" s="88"/>
      <c r="P42" s="88"/>
    </row>
    <row r="43" spans="1:16" x14ac:dyDescent="0.25">
      <c r="A43" s="1" t="s">
        <v>136</v>
      </c>
      <c r="B43" s="240"/>
      <c r="C43" s="96">
        <f>C42*24*30/1000</f>
        <v>1233.8519677978109</v>
      </c>
      <c r="D43" s="96">
        <f t="shared" ref="D43:N43" si="21">D42*24*30/1000</f>
        <v>2097.5580426673623</v>
      </c>
      <c r="E43" s="96">
        <f t="shared" si="21"/>
        <v>2138.7123753980254</v>
      </c>
      <c r="F43" s="96">
        <f t="shared" si="21"/>
        <v>2138.7123753980254</v>
      </c>
      <c r="G43" s="96">
        <f t="shared" si="21"/>
        <v>2138.7123753980254</v>
      </c>
      <c r="H43" s="96">
        <f t="shared" si="21"/>
        <v>1864.6732565389584</v>
      </c>
      <c r="I43" s="96">
        <f t="shared" si="21"/>
        <v>1439.4972294253198</v>
      </c>
      <c r="J43" s="96">
        <f t="shared" si="21"/>
        <v>1192.82031401225</v>
      </c>
      <c r="K43" s="96">
        <f t="shared" si="21"/>
        <v>1014.5624945680249</v>
      </c>
      <c r="L43" s="96">
        <f t="shared" si="21"/>
        <v>863.73275018274467</v>
      </c>
      <c r="M43" s="96">
        <f t="shared" si="21"/>
        <v>754.08203438750706</v>
      </c>
      <c r="N43" s="96">
        <f t="shared" si="21"/>
        <v>671.84046764097775</v>
      </c>
      <c r="O43" s="88"/>
      <c r="P43" s="88"/>
    </row>
    <row r="44" spans="1:16" ht="17.25" customHeight="1" x14ac:dyDescent="0.25">
      <c r="A44" s="1"/>
      <c r="B44" s="24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8"/>
      <c r="P44" s="88"/>
    </row>
    <row r="45" spans="1:16" x14ac:dyDescent="0.25">
      <c r="A45" s="2" t="s">
        <v>134</v>
      </c>
      <c r="B45" s="24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88"/>
    </row>
    <row r="46" spans="1:16" s="88" customFormat="1" x14ac:dyDescent="0.25">
      <c r="A46" s="127" t="s">
        <v>108</v>
      </c>
      <c r="B46" s="242"/>
      <c r="C46" s="128">
        <v>3.6640000000000001</v>
      </c>
      <c r="D46" s="128">
        <v>3.6640000000000001</v>
      </c>
      <c r="E46" s="128">
        <v>3.6640000000000001</v>
      </c>
      <c r="F46" s="128">
        <v>3.6640000000000001</v>
      </c>
      <c r="G46" s="128">
        <v>3.6640000000000001</v>
      </c>
      <c r="H46" s="128">
        <v>3.6640000000000001</v>
      </c>
      <c r="I46" s="128">
        <v>3.6640000000000001</v>
      </c>
      <c r="J46" s="128">
        <v>3.6640000000000001</v>
      </c>
      <c r="K46" s="128">
        <v>3.6640000000000001</v>
      </c>
      <c r="L46" s="128">
        <v>3.6640000000000001</v>
      </c>
      <c r="M46" s="128">
        <v>3.6640000000000001</v>
      </c>
      <c r="N46" s="128">
        <v>3.6640000000000001</v>
      </c>
    </row>
    <row r="47" spans="1:16" s="88" customFormat="1" x14ac:dyDescent="0.25">
      <c r="A47" s="127" t="s">
        <v>107</v>
      </c>
      <c r="B47" s="242"/>
      <c r="C47" s="128">
        <v>276</v>
      </c>
      <c r="D47" s="128">
        <v>276</v>
      </c>
      <c r="E47" s="128">
        <v>276</v>
      </c>
      <c r="F47" s="128">
        <v>276</v>
      </c>
      <c r="G47" s="128">
        <v>276</v>
      </c>
      <c r="H47" s="128">
        <v>276</v>
      </c>
      <c r="I47" s="128">
        <v>276</v>
      </c>
      <c r="J47" s="128">
        <v>276</v>
      </c>
      <c r="K47" s="128">
        <v>276</v>
      </c>
      <c r="L47" s="128">
        <v>276</v>
      </c>
      <c r="M47" s="128">
        <v>276</v>
      </c>
      <c r="N47" s="128">
        <v>276</v>
      </c>
    </row>
    <row r="48" spans="1:16" s="88" customFormat="1" x14ac:dyDescent="0.25">
      <c r="A48" s="127" t="s">
        <v>109</v>
      </c>
      <c r="B48" s="242"/>
      <c r="C48" s="128">
        <v>725</v>
      </c>
      <c r="D48" s="128">
        <v>725</v>
      </c>
      <c r="E48" s="128">
        <v>725</v>
      </c>
      <c r="F48" s="128">
        <v>725</v>
      </c>
      <c r="G48" s="128">
        <v>725</v>
      </c>
      <c r="H48" s="128">
        <v>725</v>
      </c>
      <c r="I48" s="128">
        <v>725</v>
      </c>
      <c r="J48" s="128">
        <v>725</v>
      </c>
      <c r="K48" s="128">
        <v>725</v>
      </c>
      <c r="L48" s="128">
        <v>725</v>
      </c>
      <c r="M48" s="128">
        <v>725</v>
      </c>
      <c r="N48" s="128">
        <v>725</v>
      </c>
    </row>
    <row r="49" spans="1:16" s="88" customFormat="1" x14ac:dyDescent="0.25">
      <c r="A49" s="127" t="s">
        <v>110</v>
      </c>
      <c r="B49" s="242"/>
      <c r="C49" s="96">
        <f>+C48*24*(365-30)/1000</f>
        <v>5829</v>
      </c>
      <c r="D49" s="96">
        <f t="shared" ref="D49:N49" si="22">+D48*24*(365-30)/1000</f>
        <v>5829</v>
      </c>
      <c r="E49" s="96">
        <f t="shared" si="22"/>
        <v>5829</v>
      </c>
      <c r="F49" s="96">
        <f t="shared" si="22"/>
        <v>5829</v>
      </c>
      <c r="G49" s="96">
        <f t="shared" si="22"/>
        <v>5829</v>
      </c>
      <c r="H49" s="96">
        <f t="shared" si="22"/>
        <v>5829</v>
      </c>
      <c r="I49" s="96">
        <f t="shared" si="22"/>
        <v>5829</v>
      </c>
      <c r="J49" s="96">
        <f t="shared" si="22"/>
        <v>5829</v>
      </c>
      <c r="K49" s="96">
        <f t="shared" si="22"/>
        <v>5829</v>
      </c>
      <c r="L49" s="96">
        <f t="shared" si="22"/>
        <v>5829</v>
      </c>
      <c r="M49" s="96">
        <f t="shared" si="22"/>
        <v>5829</v>
      </c>
      <c r="N49" s="96">
        <f t="shared" si="22"/>
        <v>5829</v>
      </c>
    </row>
    <row r="50" spans="1:16" s="88" customFormat="1" ht="14.25" customHeight="1" x14ac:dyDescent="0.25">
      <c r="B50" s="12"/>
      <c r="P50" s="3" t="s">
        <v>141</v>
      </c>
    </row>
    <row r="51" spans="1:16" s="88" customFormat="1" x14ac:dyDescent="0.25">
      <c r="A51" s="2" t="s">
        <v>138</v>
      </c>
      <c r="B51" s="243"/>
      <c r="C51" s="4">
        <f>+C49+C43+C16</f>
        <v>9737.7956731296235</v>
      </c>
      <c r="D51" s="4">
        <f t="shared" ref="D51:N51" si="23">+D49+D43+D16</f>
        <v>12473.983365346441</v>
      </c>
      <c r="E51" s="4">
        <f t="shared" si="23"/>
        <v>12604.3587117466</v>
      </c>
      <c r="F51" s="4">
        <f t="shared" si="23"/>
        <v>12604.3587117466</v>
      </c>
      <c r="G51" s="4">
        <f t="shared" si="23"/>
        <v>12604.3587117466</v>
      </c>
      <c r="H51" s="4">
        <f t="shared" si="23"/>
        <v>11736.21330206962</v>
      </c>
      <c r="I51" s="4">
        <f t="shared" si="23"/>
        <v>10389.27196836453</v>
      </c>
      <c r="J51" s="4">
        <f t="shared" si="23"/>
        <v>9607.8089689185763</v>
      </c>
      <c r="K51" s="4">
        <f t="shared" si="23"/>
        <v>9043.0950392656414</v>
      </c>
      <c r="L51" s="4">
        <f t="shared" si="23"/>
        <v>8565.2721985850967</v>
      </c>
      <c r="M51" s="4">
        <f t="shared" si="23"/>
        <v>8217.9029398392813</v>
      </c>
      <c r="N51" s="4">
        <f t="shared" si="23"/>
        <v>7957.3648131918917</v>
      </c>
      <c r="P51" s="4">
        <f>SUM(C51:N51)</f>
        <v>125541.78440395049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6"/>
  <sheetViews>
    <sheetView showGridLines="0" topLeftCell="A10" workbookViewId="0">
      <selection activeCell="G11" sqref="G11"/>
    </sheetView>
  </sheetViews>
  <sheetFormatPr defaultRowHeight="15" x14ac:dyDescent="0.25"/>
  <cols>
    <col min="11" max="11" width="18.140625" customWidth="1"/>
    <col min="14" max="14" width="24.42578125" customWidth="1"/>
    <col min="15" max="15" width="82.7109375" customWidth="1"/>
  </cols>
  <sheetData>
    <row r="2" spans="2:15" ht="15.75" thickBot="1" x14ac:dyDescent="0.3"/>
    <row r="3" spans="2:15" ht="15.75" x14ac:dyDescent="0.25">
      <c r="B3" s="53" t="s">
        <v>60</v>
      </c>
      <c r="C3" s="45"/>
      <c r="D3" s="45"/>
      <c r="E3" s="45"/>
      <c r="F3" s="45"/>
      <c r="G3" s="45"/>
      <c r="H3" s="45"/>
      <c r="I3" s="46"/>
      <c r="K3" s="55" t="s">
        <v>61</v>
      </c>
      <c r="L3" s="56" t="s">
        <v>62</v>
      </c>
      <c r="N3" s="42" t="s">
        <v>63</v>
      </c>
      <c r="O3" s="43" t="s">
        <v>64</v>
      </c>
    </row>
    <row r="4" spans="2:15" ht="31.5" x14ac:dyDescent="0.25">
      <c r="B4" s="54"/>
      <c r="C4" s="48"/>
      <c r="D4" s="48"/>
      <c r="E4" s="48"/>
      <c r="F4" s="48"/>
      <c r="G4" s="48"/>
      <c r="H4" s="48"/>
      <c r="I4" s="49"/>
      <c r="K4" s="63"/>
      <c r="L4" s="64"/>
      <c r="N4" s="66" t="s">
        <v>65</v>
      </c>
      <c r="O4" s="41" t="s">
        <v>66</v>
      </c>
    </row>
    <row r="5" spans="2:15" ht="15.75" x14ac:dyDescent="0.25">
      <c r="B5" s="47"/>
      <c r="C5" s="48"/>
      <c r="D5" s="48"/>
      <c r="E5" s="48"/>
      <c r="F5" s="48"/>
      <c r="G5" s="48"/>
      <c r="H5" s="48"/>
      <c r="I5" s="49"/>
      <c r="K5" s="57" t="s">
        <v>67</v>
      </c>
      <c r="L5" s="58">
        <v>33</v>
      </c>
      <c r="N5" s="65" t="s">
        <v>68</v>
      </c>
      <c r="O5" s="68" t="s">
        <v>69</v>
      </c>
    </row>
    <row r="6" spans="2:15" ht="15.75" x14ac:dyDescent="0.25">
      <c r="B6" s="47"/>
      <c r="C6" s="48" t="s">
        <v>70</v>
      </c>
      <c r="D6" s="48"/>
      <c r="E6" s="48"/>
      <c r="F6" s="48" t="s">
        <v>71</v>
      </c>
      <c r="G6" s="48"/>
      <c r="H6" s="48"/>
      <c r="I6" s="49"/>
      <c r="K6" s="59" t="s">
        <v>72</v>
      </c>
      <c r="L6" s="60">
        <v>26</v>
      </c>
      <c r="N6" s="66" t="s">
        <v>91</v>
      </c>
      <c r="O6" s="69" t="s">
        <v>92</v>
      </c>
    </row>
    <row r="7" spans="2:15" ht="36.75" customHeight="1" x14ac:dyDescent="0.25">
      <c r="B7" s="47"/>
      <c r="C7" s="48" t="s">
        <v>35</v>
      </c>
      <c r="D7" s="48" t="s">
        <v>73</v>
      </c>
      <c r="E7" s="48" t="s">
        <v>36</v>
      </c>
      <c r="F7" s="48" t="s">
        <v>35</v>
      </c>
      <c r="G7" s="48" t="s">
        <v>73</v>
      </c>
      <c r="H7" s="48" t="s">
        <v>36</v>
      </c>
      <c r="I7" s="49"/>
      <c r="K7" s="59" t="s">
        <v>74</v>
      </c>
      <c r="L7" s="60">
        <v>24</v>
      </c>
      <c r="N7" s="65" t="s">
        <v>75</v>
      </c>
      <c r="O7" s="68" t="s">
        <v>76</v>
      </c>
    </row>
    <row r="8" spans="2:15" ht="39" customHeight="1" thickBot="1" x14ac:dyDescent="0.3">
      <c r="B8" s="47">
        <v>2010</v>
      </c>
      <c r="C8" s="48">
        <v>13</v>
      </c>
      <c r="D8" s="48">
        <v>13</v>
      </c>
      <c r="E8" s="48">
        <v>13</v>
      </c>
      <c r="F8" s="48">
        <v>29</v>
      </c>
      <c r="G8" s="48">
        <v>57</v>
      </c>
      <c r="H8" s="48">
        <v>86</v>
      </c>
      <c r="I8" s="49"/>
      <c r="K8" s="61" t="s">
        <v>77</v>
      </c>
      <c r="L8" s="62">
        <v>17</v>
      </c>
      <c r="N8" s="66" t="s">
        <v>78</v>
      </c>
      <c r="O8" s="69" t="s">
        <v>79</v>
      </c>
    </row>
    <row r="9" spans="2:15" ht="31.5" x14ac:dyDescent="0.25">
      <c r="B9" s="47">
        <v>2011</v>
      </c>
      <c r="C9" s="48">
        <v>11</v>
      </c>
      <c r="D9" s="48">
        <v>11</v>
      </c>
      <c r="E9" s="48">
        <v>11</v>
      </c>
      <c r="F9" s="48">
        <v>29</v>
      </c>
      <c r="G9" s="48">
        <v>58</v>
      </c>
      <c r="H9" s="48">
        <v>87</v>
      </c>
      <c r="I9" s="49"/>
      <c r="N9" s="65" t="s">
        <v>80</v>
      </c>
      <c r="O9" s="68" t="s">
        <v>81</v>
      </c>
    </row>
    <row r="10" spans="2:15" ht="28.5" customHeight="1" x14ac:dyDescent="0.25">
      <c r="B10" s="47">
        <v>2013</v>
      </c>
      <c r="C10" s="48">
        <v>4</v>
      </c>
      <c r="D10" s="48">
        <v>4</v>
      </c>
      <c r="E10" s="48">
        <v>4</v>
      </c>
      <c r="F10" s="48">
        <v>30</v>
      </c>
      <c r="G10" s="48">
        <v>60</v>
      </c>
      <c r="H10" s="48">
        <v>90</v>
      </c>
      <c r="I10" s="49"/>
      <c r="N10" s="66" t="s">
        <v>82</v>
      </c>
      <c r="O10" s="69" t="s">
        <v>83</v>
      </c>
    </row>
    <row r="11" spans="2:15" ht="39.75" customHeight="1" thickBot="1" x14ac:dyDescent="0.3">
      <c r="B11" s="47">
        <v>2014</v>
      </c>
      <c r="C11" s="48">
        <v>0</v>
      </c>
      <c r="D11" s="48">
        <v>4</v>
      </c>
      <c r="E11" s="48">
        <v>12</v>
      </c>
      <c r="F11" s="48">
        <v>30</v>
      </c>
      <c r="G11" s="48">
        <v>61</v>
      </c>
      <c r="H11" s="48">
        <v>91</v>
      </c>
      <c r="I11" s="49"/>
      <c r="N11" s="67" t="s">
        <v>84</v>
      </c>
      <c r="O11" s="70" t="s">
        <v>85</v>
      </c>
    </row>
    <row r="12" spans="2:15" x14ac:dyDescent="0.25">
      <c r="B12" s="47">
        <v>2015</v>
      </c>
      <c r="C12" s="48">
        <v>0</v>
      </c>
      <c r="D12" s="48">
        <v>5</v>
      </c>
      <c r="E12" s="48">
        <v>16</v>
      </c>
      <c r="F12" s="48">
        <v>31</v>
      </c>
      <c r="G12" s="48">
        <v>62</v>
      </c>
      <c r="H12" s="48">
        <v>93</v>
      </c>
      <c r="I12" s="49"/>
    </row>
    <row r="13" spans="2:15" x14ac:dyDescent="0.25">
      <c r="B13" s="47">
        <v>2016</v>
      </c>
      <c r="C13" s="48">
        <v>0</v>
      </c>
      <c r="D13" s="48">
        <v>5</v>
      </c>
      <c r="E13" s="48">
        <v>20</v>
      </c>
      <c r="F13" s="48">
        <v>31</v>
      </c>
      <c r="G13" s="48">
        <v>63</v>
      </c>
      <c r="H13" s="48">
        <v>94</v>
      </c>
      <c r="I13" s="49"/>
    </row>
    <row r="14" spans="2:15" x14ac:dyDescent="0.25">
      <c r="B14" s="47">
        <v>2017</v>
      </c>
      <c r="C14" s="48">
        <v>0</v>
      </c>
      <c r="D14" s="48">
        <v>5</v>
      </c>
      <c r="E14" s="48">
        <v>21</v>
      </c>
      <c r="F14" s="48">
        <v>32</v>
      </c>
      <c r="G14" s="48">
        <v>64</v>
      </c>
      <c r="H14" s="48">
        <v>95</v>
      </c>
      <c r="I14" s="49"/>
    </row>
    <row r="15" spans="2:15" x14ac:dyDescent="0.25">
      <c r="B15" s="47">
        <v>2018</v>
      </c>
      <c r="C15" s="48">
        <v>0</v>
      </c>
      <c r="D15" s="48">
        <v>5</v>
      </c>
      <c r="E15" s="48">
        <v>27</v>
      </c>
      <c r="F15" s="48">
        <v>32</v>
      </c>
      <c r="G15" s="48">
        <v>65</v>
      </c>
      <c r="H15" s="48">
        <v>97</v>
      </c>
      <c r="I15" s="49"/>
    </row>
    <row r="16" spans="2:15" x14ac:dyDescent="0.25">
      <c r="B16" s="47">
        <v>2019</v>
      </c>
      <c r="C16" s="48">
        <v>0</v>
      </c>
      <c r="D16" s="48">
        <v>5</v>
      </c>
      <c r="E16" s="48">
        <v>34</v>
      </c>
      <c r="F16" s="48">
        <v>33</v>
      </c>
      <c r="G16" s="48">
        <v>66</v>
      </c>
      <c r="H16" s="48">
        <v>98</v>
      </c>
      <c r="I16" s="49"/>
    </row>
    <row r="17" spans="2:9" x14ac:dyDescent="0.25">
      <c r="B17" s="47">
        <v>2020</v>
      </c>
      <c r="C17" s="48">
        <v>0</v>
      </c>
      <c r="D17" s="48">
        <v>5</v>
      </c>
      <c r="E17" s="48">
        <v>40</v>
      </c>
      <c r="F17" s="48">
        <v>33</v>
      </c>
      <c r="G17" s="48">
        <v>67</v>
      </c>
      <c r="H17" s="48">
        <v>100</v>
      </c>
      <c r="I17" s="49"/>
    </row>
    <row r="18" spans="2:9" x14ac:dyDescent="0.25">
      <c r="B18" s="47">
        <v>2021</v>
      </c>
      <c r="C18" s="48">
        <v>4</v>
      </c>
      <c r="D18" s="48">
        <v>13</v>
      </c>
      <c r="E18" s="48">
        <v>47</v>
      </c>
      <c r="F18" s="48">
        <v>34</v>
      </c>
      <c r="G18" s="48">
        <v>68</v>
      </c>
      <c r="H18" s="48">
        <v>102</v>
      </c>
      <c r="I18" s="49"/>
    </row>
    <row r="19" spans="2:9" x14ac:dyDescent="0.25">
      <c r="B19" s="47">
        <v>2022</v>
      </c>
      <c r="C19" s="48">
        <v>8</v>
      </c>
      <c r="D19" s="48">
        <v>20</v>
      </c>
      <c r="E19" s="48">
        <v>55</v>
      </c>
      <c r="F19" s="48">
        <v>34</v>
      </c>
      <c r="G19" s="48">
        <v>69</v>
      </c>
      <c r="H19" s="48">
        <v>103</v>
      </c>
      <c r="I19" s="49"/>
    </row>
    <row r="20" spans="2:9" x14ac:dyDescent="0.25">
      <c r="B20" s="47">
        <v>2023</v>
      </c>
      <c r="C20" s="48">
        <v>12</v>
      </c>
      <c r="D20" s="48">
        <v>27</v>
      </c>
      <c r="E20" s="48">
        <v>63</v>
      </c>
      <c r="F20" s="48">
        <v>35</v>
      </c>
      <c r="G20" s="48">
        <v>70</v>
      </c>
      <c r="H20" s="48">
        <v>105</v>
      </c>
      <c r="I20" s="49"/>
    </row>
    <row r="21" spans="2:9" x14ac:dyDescent="0.25">
      <c r="B21" s="47">
        <v>2024</v>
      </c>
      <c r="C21" s="48">
        <v>16</v>
      </c>
      <c r="D21" s="48">
        <v>34</v>
      </c>
      <c r="E21" s="48">
        <v>70</v>
      </c>
      <c r="F21" s="48">
        <v>36</v>
      </c>
      <c r="G21" s="48">
        <v>71</v>
      </c>
      <c r="H21" s="48">
        <v>107</v>
      </c>
      <c r="I21" s="49"/>
    </row>
    <row r="22" spans="2:9" x14ac:dyDescent="0.25">
      <c r="B22" s="47">
        <v>2025</v>
      </c>
      <c r="C22" s="48">
        <v>19</v>
      </c>
      <c r="D22" s="48">
        <v>42</v>
      </c>
      <c r="E22" s="48">
        <v>78</v>
      </c>
      <c r="F22" s="48">
        <v>36</v>
      </c>
      <c r="G22" s="48">
        <v>72</v>
      </c>
      <c r="H22" s="48">
        <v>108</v>
      </c>
      <c r="I22" s="49"/>
    </row>
    <row r="23" spans="2:9" x14ac:dyDescent="0.25">
      <c r="B23" s="47">
        <v>2026</v>
      </c>
      <c r="C23" s="48">
        <v>23</v>
      </c>
      <c r="D23" s="48">
        <v>49</v>
      </c>
      <c r="E23" s="48">
        <v>86</v>
      </c>
      <c r="F23" s="48">
        <v>37</v>
      </c>
      <c r="G23" s="48">
        <v>73</v>
      </c>
      <c r="H23" s="48">
        <v>110</v>
      </c>
      <c r="I23" s="49"/>
    </row>
    <row r="24" spans="2:9" x14ac:dyDescent="0.25">
      <c r="B24" s="47">
        <v>2027</v>
      </c>
      <c r="C24" s="48">
        <v>27</v>
      </c>
      <c r="D24" s="48">
        <v>56</v>
      </c>
      <c r="E24" s="48">
        <v>93</v>
      </c>
      <c r="F24" s="48">
        <v>37</v>
      </c>
      <c r="G24" s="48">
        <v>74</v>
      </c>
      <c r="H24" s="48">
        <v>112</v>
      </c>
      <c r="I24" s="49"/>
    </row>
    <row r="25" spans="2:9" x14ac:dyDescent="0.25">
      <c r="B25" s="47">
        <v>2028</v>
      </c>
      <c r="C25" s="48">
        <v>31</v>
      </c>
      <c r="D25" s="48">
        <v>63</v>
      </c>
      <c r="E25" s="48">
        <v>101</v>
      </c>
      <c r="F25" s="48">
        <v>38</v>
      </c>
      <c r="G25" s="48">
        <v>75</v>
      </c>
      <c r="H25" s="48">
        <v>113</v>
      </c>
      <c r="I25" s="49"/>
    </row>
    <row r="26" spans="2:9" x14ac:dyDescent="0.25">
      <c r="B26" s="47">
        <v>2029</v>
      </c>
      <c r="C26" s="48">
        <v>35</v>
      </c>
      <c r="D26" s="48">
        <v>70</v>
      </c>
      <c r="E26" s="48">
        <v>109</v>
      </c>
      <c r="F26" s="48">
        <v>38</v>
      </c>
      <c r="G26" s="48">
        <v>77</v>
      </c>
      <c r="H26" s="48">
        <v>115</v>
      </c>
      <c r="I26" s="49"/>
    </row>
    <row r="27" spans="2:9" x14ac:dyDescent="0.25">
      <c r="B27" s="47">
        <v>2030</v>
      </c>
      <c r="C27" s="48">
        <v>39</v>
      </c>
      <c r="D27" s="48">
        <v>78</v>
      </c>
      <c r="E27" s="48">
        <v>116</v>
      </c>
      <c r="F27" s="48">
        <v>39</v>
      </c>
      <c r="G27" s="48">
        <v>78</v>
      </c>
      <c r="H27" s="48">
        <v>116</v>
      </c>
      <c r="I27" s="49"/>
    </row>
    <row r="28" spans="2:9" x14ac:dyDescent="0.25">
      <c r="B28" s="47">
        <v>2031</v>
      </c>
      <c r="C28" s="48">
        <v>42</v>
      </c>
      <c r="D28" s="48">
        <v>85</v>
      </c>
      <c r="E28" s="48">
        <v>127</v>
      </c>
      <c r="F28" s="48">
        <v>42</v>
      </c>
      <c r="G28" s="48">
        <v>85</v>
      </c>
      <c r="H28" s="48">
        <v>127</v>
      </c>
      <c r="I28" s="49"/>
    </row>
    <row r="29" spans="2:9" x14ac:dyDescent="0.25">
      <c r="B29" s="47">
        <v>2032</v>
      </c>
      <c r="C29" s="48">
        <v>46</v>
      </c>
      <c r="D29" s="48">
        <v>92</v>
      </c>
      <c r="E29" s="48">
        <v>138</v>
      </c>
      <c r="F29" s="48">
        <v>46</v>
      </c>
      <c r="G29" s="48">
        <v>92</v>
      </c>
      <c r="H29" s="48">
        <v>138</v>
      </c>
      <c r="I29" s="49"/>
    </row>
    <row r="30" spans="2:9" x14ac:dyDescent="0.25">
      <c r="B30" s="47">
        <v>2033</v>
      </c>
      <c r="C30" s="48">
        <v>50</v>
      </c>
      <c r="D30" s="48">
        <v>99</v>
      </c>
      <c r="E30" s="48">
        <v>149</v>
      </c>
      <c r="F30" s="48">
        <v>50</v>
      </c>
      <c r="G30" s="48">
        <v>99</v>
      </c>
      <c r="H30" s="48">
        <v>149</v>
      </c>
      <c r="I30" s="49"/>
    </row>
    <row r="31" spans="2:9" x14ac:dyDescent="0.25">
      <c r="B31" s="47">
        <v>2034</v>
      </c>
      <c r="C31" s="48">
        <v>53</v>
      </c>
      <c r="D31" s="48">
        <v>107</v>
      </c>
      <c r="E31" s="48">
        <v>160</v>
      </c>
      <c r="F31" s="48">
        <v>53</v>
      </c>
      <c r="G31" s="48">
        <v>107</v>
      </c>
      <c r="H31" s="48">
        <v>160</v>
      </c>
      <c r="I31" s="49"/>
    </row>
    <row r="32" spans="2:9" x14ac:dyDescent="0.25">
      <c r="B32" s="47">
        <v>2035</v>
      </c>
      <c r="C32" s="48">
        <v>57</v>
      </c>
      <c r="D32" s="48">
        <v>114</v>
      </c>
      <c r="E32" s="48">
        <v>171</v>
      </c>
      <c r="F32" s="48">
        <v>57</v>
      </c>
      <c r="G32" s="48">
        <v>114</v>
      </c>
      <c r="H32" s="48">
        <v>171</v>
      </c>
      <c r="I32" s="49"/>
    </row>
    <row r="33" spans="2:9" x14ac:dyDescent="0.25">
      <c r="B33" s="47">
        <v>2036</v>
      </c>
      <c r="C33" s="48">
        <v>60</v>
      </c>
      <c r="D33" s="48">
        <v>121</v>
      </c>
      <c r="E33" s="48">
        <v>181</v>
      </c>
      <c r="F33" s="48">
        <v>60</v>
      </c>
      <c r="G33" s="48">
        <v>121</v>
      </c>
      <c r="H33" s="48">
        <v>181</v>
      </c>
      <c r="I33" s="49"/>
    </row>
    <row r="34" spans="2:9" x14ac:dyDescent="0.25">
      <c r="B34" s="47">
        <v>2037</v>
      </c>
      <c r="C34" s="48">
        <v>64</v>
      </c>
      <c r="D34" s="48">
        <v>128</v>
      </c>
      <c r="E34" s="48">
        <v>192</v>
      </c>
      <c r="F34" s="48">
        <v>64</v>
      </c>
      <c r="G34" s="48">
        <v>128</v>
      </c>
      <c r="H34" s="48">
        <v>192</v>
      </c>
      <c r="I34" s="49"/>
    </row>
    <row r="35" spans="2:9" x14ac:dyDescent="0.25">
      <c r="B35" s="47">
        <v>2038</v>
      </c>
      <c r="C35" s="48">
        <v>68</v>
      </c>
      <c r="D35" s="48">
        <v>135</v>
      </c>
      <c r="E35" s="48">
        <v>203</v>
      </c>
      <c r="F35" s="48">
        <v>68</v>
      </c>
      <c r="G35" s="48">
        <v>135</v>
      </c>
      <c r="H35" s="48">
        <v>203</v>
      </c>
      <c r="I35" s="49"/>
    </row>
    <row r="36" spans="2:9" x14ac:dyDescent="0.25">
      <c r="B36" s="47">
        <v>2039</v>
      </c>
      <c r="C36" s="48">
        <v>71</v>
      </c>
      <c r="D36" s="48">
        <v>143</v>
      </c>
      <c r="E36" s="48">
        <v>214</v>
      </c>
      <c r="F36" s="48">
        <v>71</v>
      </c>
      <c r="G36" s="48">
        <v>143</v>
      </c>
      <c r="H36" s="48">
        <v>214</v>
      </c>
      <c r="I36" s="49"/>
    </row>
    <row r="37" spans="2:9" x14ac:dyDescent="0.25">
      <c r="B37" s="47">
        <v>2040</v>
      </c>
      <c r="C37" s="48">
        <v>75</v>
      </c>
      <c r="D37" s="48">
        <v>150</v>
      </c>
      <c r="E37" s="48">
        <v>225</v>
      </c>
      <c r="F37" s="48">
        <v>75</v>
      </c>
      <c r="G37" s="48">
        <v>150</v>
      </c>
      <c r="H37" s="48">
        <v>225</v>
      </c>
      <c r="I37" s="49"/>
    </row>
    <row r="38" spans="2:9" x14ac:dyDescent="0.25">
      <c r="B38" s="47">
        <v>2041</v>
      </c>
      <c r="C38" s="48">
        <v>78</v>
      </c>
      <c r="D38" s="48">
        <v>157</v>
      </c>
      <c r="E38" s="48">
        <v>235</v>
      </c>
      <c r="F38" s="48">
        <v>78</v>
      </c>
      <c r="G38" s="48">
        <v>157</v>
      </c>
      <c r="H38" s="48">
        <v>235</v>
      </c>
      <c r="I38" s="49"/>
    </row>
    <row r="39" spans="2:9" x14ac:dyDescent="0.25">
      <c r="B39" s="47">
        <v>2042</v>
      </c>
      <c r="C39" s="48">
        <v>82</v>
      </c>
      <c r="D39" s="48">
        <v>164</v>
      </c>
      <c r="E39" s="48">
        <v>246</v>
      </c>
      <c r="F39" s="48">
        <v>82</v>
      </c>
      <c r="G39" s="48">
        <v>164</v>
      </c>
      <c r="H39" s="48">
        <v>246</v>
      </c>
      <c r="I39" s="49"/>
    </row>
    <row r="40" spans="2:9" x14ac:dyDescent="0.25">
      <c r="B40" s="47">
        <v>2043</v>
      </c>
      <c r="C40" s="48">
        <v>86</v>
      </c>
      <c r="D40" s="48">
        <v>171</v>
      </c>
      <c r="E40" s="48">
        <v>257</v>
      </c>
      <c r="F40" s="48">
        <v>86</v>
      </c>
      <c r="G40" s="48">
        <v>171</v>
      </c>
      <c r="H40" s="48">
        <v>257</v>
      </c>
      <c r="I40" s="49"/>
    </row>
    <row r="41" spans="2:9" x14ac:dyDescent="0.25">
      <c r="B41" s="47">
        <v>2044</v>
      </c>
      <c r="C41" s="48">
        <v>89</v>
      </c>
      <c r="D41" s="48">
        <v>179</v>
      </c>
      <c r="E41" s="48">
        <v>268</v>
      </c>
      <c r="F41" s="48">
        <v>89</v>
      </c>
      <c r="G41" s="48">
        <v>179</v>
      </c>
      <c r="H41" s="48">
        <v>268</v>
      </c>
      <c r="I41" s="49"/>
    </row>
    <row r="42" spans="2:9" x14ac:dyDescent="0.25">
      <c r="B42" s="47">
        <v>2045</v>
      </c>
      <c r="C42" s="48">
        <v>93</v>
      </c>
      <c r="D42" s="48">
        <v>186</v>
      </c>
      <c r="E42" s="48">
        <v>279</v>
      </c>
      <c r="F42" s="48">
        <v>93</v>
      </c>
      <c r="G42" s="48">
        <v>186</v>
      </c>
      <c r="H42" s="48">
        <v>279</v>
      </c>
      <c r="I42" s="49"/>
    </row>
    <row r="43" spans="2:9" x14ac:dyDescent="0.25">
      <c r="B43" s="47">
        <v>2046</v>
      </c>
      <c r="C43" s="48">
        <v>97</v>
      </c>
      <c r="D43" s="48">
        <v>193</v>
      </c>
      <c r="E43" s="48">
        <v>290</v>
      </c>
      <c r="F43" s="48">
        <v>97</v>
      </c>
      <c r="G43" s="48">
        <v>193</v>
      </c>
      <c r="H43" s="48">
        <v>290</v>
      </c>
      <c r="I43" s="49"/>
    </row>
    <row r="44" spans="2:9" x14ac:dyDescent="0.25">
      <c r="B44" s="47">
        <v>2047</v>
      </c>
      <c r="C44" s="48">
        <v>100</v>
      </c>
      <c r="D44" s="48">
        <v>200</v>
      </c>
      <c r="E44" s="48">
        <v>300</v>
      </c>
      <c r="F44" s="48">
        <v>100</v>
      </c>
      <c r="G44" s="48">
        <v>200</v>
      </c>
      <c r="H44" s="48">
        <v>300</v>
      </c>
      <c r="I44" s="49"/>
    </row>
    <row r="45" spans="2:9" x14ac:dyDescent="0.25">
      <c r="B45" s="47">
        <v>2048</v>
      </c>
      <c r="C45" s="48">
        <v>104</v>
      </c>
      <c r="D45" s="48">
        <v>207</v>
      </c>
      <c r="E45" s="48">
        <v>311</v>
      </c>
      <c r="F45" s="48">
        <v>104</v>
      </c>
      <c r="G45" s="48">
        <v>207</v>
      </c>
      <c r="H45" s="48">
        <v>311</v>
      </c>
      <c r="I45" s="49"/>
    </row>
    <row r="46" spans="2:9" x14ac:dyDescent="0.25">
      <c r="B46" s="47">
        <v>2049</v>
      </c>
      <c r="C46" s="48">
        <v>107</v>
      </c>
      <c r="D46" s="48">
        <v>215</v>
      </c>
      <c r="E46" s="48">
        <v>322</v>
      </c>
      <c r="F46" s="48">
        <v>107</v>
      </c>
      <c r="G46" s="48">
        <v>215</v>
      </c>
      <c r="H46" s="48">
        <v>322</v>
      </c>
      <c r="I46" s="49"/>
    </row>
    <row r="47" spans="2:9" x14ac:dyDescent="0.25">
      <c r="B47" s="47">
        <v>2050</v>
      </c>
      <c r="C47" s="48">
        <v>111</v>
      </c>
      <c r="D47" s="48">
        <v>222</v>
      </c>
      <c r="E47" s="48">
        <v>333</v>
      </c>
      <c r="F47" s="48">
        <v>111</v>
      </c>
      <c r="G47" s="48">
        <v>222</v>
      </c>
      <c r="H47" s="48">
        <v>333</v>
      </c>
      <c r="I47" s="49"/>
    </row>
    <row r="48" spans="2:9" x14ac:dyDescent="0.25">
      <c r="B48" s="47">
        <v>2051</v>
      </c>
      <c r="C48" s="48">
        <v>114</v>
      </c>
      <c r="D48" s="48">
        <v>230</v>
      </c>
      <c r="E48" s="48">
        <v>346</v>
      </c>
      <c r="F48" s="48">
        <v>114</v>
      </c>
      <c r="G48" s="48">
        <v>230</v>
      </c>
      <c r="H48" s="48">
        <v>346</v>
      </c>
      <c r="I48" s="49"/>
    </row>
    <row r="49" spans="2:9" x14ac:dyDescent="0.25">
      <c r="B49" s="47">
        <v>2052</v>
      </c>
      <c r="C49" s="48">
        <v>116</v>
      </c>
      <c r="D49" s="48">
        <v>237</v>
      </c>
      <c r="E49" s="48">
        <v>358</v>
      </c>
      <c r="F49" s="48">
        <v>116</v>
      </c>
      <c r="G49" s="48">
        <v>237</v>
      </c>
      <c r="H49" s="48">
        <v>358</v>
      </c>
      <c r="I49" s="49"/>
    </row>
    <row r="50" spans="2:9" x14ac:dyDescent="0.25">
      <c r="B50" s="47">
        <v>2053</v>
      </c>
      <c r="C50" s="48">
        <v>119</v>
      </c>
      <c r="D50" s="48">
        <v>245</v>
      </c>
      <c r="E50" s="48">
        <v>371</v>
      </c>
      <c r="F50" s="48">
        <v>119</v>
      </c>
      <c r="G50" s="48">
        <v>245</v>
      </c>
      <c r="H50" s="48">
        <v>371</v>
      </c>
      <c r="I50" s="49"/>
    </row>
    <row r="51" spans="2:9" x14ac:dyDescent="0.25">
      <c r="B51" s="47">
        <v>2054</v>
      </c>
      <c r="C51" s="48">
        <v>121</v>
      </c>
      <c r="D51" s="48">
        <v>253</v>
      </c>
      <c r="E51" s="48">
        <v>384</v>
      </c>
      <c r="F51" s="48">
        <v>121</v>
      </c>
      <c r="G51" s="48">
        <v>253</v>
      </c>
      <c r="H51" s="48">
        <v>384</v>
      </c>
      <c r="I51" s="49"/>
    </row>
    <row r="52" spans="2:9" x14ac:dyDescent="0.25">
      <c r="B52" s="47">
        <v>2055</v>
      </c>
      <c r="C52" s="48">
        <v>124</v>
      </c>
      <c r="D52" s="48">
        <v>260</v>
      </c>
      <c r="E52" s="48">
        <v>397</v>
      </c>
      <c r="F52" s="48">
        <v>124</v>
      </c>
      <c r="G52" s="48">
        <v>260</v>
      </c>
      <c r="H52" s="48">
        <v>397</v>
      </c>
      <c r="I52" s="49"/>
    </row>
    <row r="53" spans="2:9" x14ac:dyDescent="0.25">
      <c r="B53" s="47">
        <v>2056</v>
      </c>
      <c r="C53" s="48">
        <v>126</v>
      </c>
      <c r="D53" s="48">
        <v>267</v>
      </c>
      <c r="E53" s="48">
        <v>409</v>
      </c>
      <c r="F53" s="48">
        <v>126</v>
      </c>
      <c r="G53" s="48">
        <v>267</v>
      </c>
      <c r="H53" s="48">
        <v>409</v>
      </c>
      <c r="I53" s="49"/>
    </row>
    <row r="54" spans="2:9" x14ac:dyDescent="0.25">
      <c r="B54" s="47">
        <v>2057</v>
      </c>
      <c r="C54" s="48">
        <v>128</v>
      </c>
      <c r="D54" s="48">
        <v>275</v>
      </c>
      <c r="E54" s="48">
        <v>422</v>
      </c>
      <c r="F54" s="48">
        <v>128</v>
      </c>
      <c r="G54" s="48">
        <v>275</v>
      </c>
      <c r="H54" s="48">
        <v>422</v>
      </c>
      <c r="I54" s="49"/>
    </row>
    <row r="55" spans="2:9" x14ac:dyDescent="0.25">
      <c r="B55" s="47">
        <v>2058</v>
      </c>
      <c r="C55" s="48">
        <v>130</v>
      </c>
      <c r="D55" s="48">
        <v>282</v>
      </c>
      <c r="E55" s="48">
        <v>434</v>
      </c>
      <c r="F55" s="48">
        <v>130</v>
      </c>
      <c r="G55" s="48">
        <v>282</v>
      </c>
      <c r="H55" s="48">
        <v>434</v>
      </c>
      <c r="I55" s="49"/>
    </row>
    <row r="56" spans="2:9" x14ac:dyDescent="0.25">
      <c r="B56" s="47">
        <v>2059</v>
      </c>
      <c r="C56" s="48">
        <v>131</v>
      </c>
      <c r="D56" s="48">
        <v>289</v>
      </c>
      <c r="E56" s="48">
        <v>446</v>
      </c>
      <c r="F56" s="48">
        <v>131</v>
      </c>
      <c r="G56" s="48">
        <v>289</v>
      </c>
      <c r="H56" s="48">
        <v>446</v>
      </c>
      <c r="I56" s="49"/>
    </row>
    <row r="57" spans="2:9" x14ac:dyDescent="0.25">
      <c r="B57" s="47">
        <v>2060</v>
      </c>
      <c r="C57" s="48">
        <v>133</v>
      </c>
      <c r="D57" s="48">
        <v>295</v>
      </c>
      <c r="E57" s="48">
        <v>458</v>
      </c>
      <c r="F57" s="48">
        <v>133</v>
      </c>
      <c r="G57" s="48">
        <v>295</v>
      </c>
      <c r="H57" s="48">
        <v>458</v>
      </c>
      <c r="I57" s="49"/>
    </row>
    <row r="58" spans="2:9" x14ac:dyDescent="0.25">
      <c r="B58" s="47">
        <v>2061</v>
      </c>
      <c r="C58" s="48">
        <v>134</v>
      </c>
      <c r="D58" s="48">
        <v>301</v>
      </c>
      <c r="E58" s="48">
        <v>467</v>
      </c>
      <c r="F58" s="48">
        <v>134</v>
      </c>
      <c r="G58" s="48">
        <v>301</v>
      </c>
      <c r="H58" s="48">
        <v>467</v>
      </c>
      <c r="I58" s="49"/>
    </row>
    <row r="59" spans="2:9" x14ac:dyDescent="0.25">
      <c r="B59" s="47">
        <v>2062</v>
      </c>
      <c r="C59" s="48">
        <v>135</v>
      </c>
      <c r="D59" s="48">
        <v>306</v>
      </c>
      <c r="E59" s="48">
        <v>477</v>
      </c>
      <c r="F59" s="48">
        <v>135</v>
      </c>
      <c r="G59" s="48">
        <v>306</v>
      </c>
      <c r="H59" s="48">
        <v>477</v>
      </c>
      <c r="I59" s="49"/>
    </row>
    <row r="60" spans="2:9" x14ac:dyDescent="0.25">
      <c r="B60" s="47">
        <v>2063</v>
      </c>
      <c r="C60" s="48">
        <v>135</v>
      </c>
      <c r="D60" s="48">
        <v>311</v>
      </c>
      <c r="E60" s="48">
        <v>486</v>
      </c>
      <c r="F60" s="48">
        <v>135</v>
      </c>
      <c r="G60" s="48">
        <v>311</v>
      </c>
      <c r="H60" s="48">
        <v>486</v>
      </c>
      <c r="I60" s="49"/>
    </row>
    <row r="61" spans="2:9" x14ac:dyDescent="0.25">
      <c r="B61" s="47">
        <v>2064</v>
      </c>
      <c r="C61" s="48">
        <v>135</v>
      </c>
      <c r="D61" s="48">
        <v>315</v>
      </c>
      <c r="E61" s="48">
        <v>495</v>
      </c>
      <c r="F61" s="48">
        <v>135</v>
      </c>
      <c r="G61" s="48">
        <v>315</v>
      </c>
      <c r="H61" s="48">
        <v>495</v>
      </c>
      <c r="I61" s="49"/>
    </row>
    <row r="62" spans="2:9" x14ac:dyDescent="0.25">
      <c r="B62" s="47">
        <v>2065</v>
      </c>
      <c r="C62" s="48">
        <v>136</v>
      </c>
      <c r="D62" s="48">
        <v>319</v>
      </c>
      <c r="E62" s="48">
        <v>503</v>
      </c>
      <c r="F62" s="48">
        <v>136</v>
      </c>
      <c r="G62" s="48">
        <v>319</v>
      </c>
      <c r="H62" s="48">
        <v>503</v>
      </c>
      <c r="I62" s="49"/>
    </row>
    <row r="63" spans="2:9" x14ac:dyDescent="0.25">
      <c r="B63" s="47">
        <v>2066</v>
      </c>
      <c r="C63" s="48">
        <v>136</v>
      </c>
      <c r="D63" s="48">
        <v>323</v>
      </c>
      <c r="E63" s="48">
        <v>510</v>
      </c>
      <c r="F63" s="48">
        <v>136</v>
      </c>
      <c r="G63" s="48">
        <v>323</v>
      </c>
      <c r="H63" s="48">
        <v>510</v>
      </c>
      <c r="I63" s="49"/>
    </row>
    <row r="64" spans="2:9" x14ac:dyDescent="0.25">
      <c r="B64" s="47">
        <v>2067</v>
      </c>
      <c r="C64" s="48">
        <v>135</v>
      </c>
      <c r="D64" s="48">
        <v>326</v>
      </c>
      <c r="E64" s="48">
        <v>517</v>
      </c>
      <c r="F64" s="48">
        <v>135</v>
      </c>
      <c r="G64" s="48">
        <v>326</v>
      </c>
      <c r="H64" s="48">
        <v>517</v>
      </c>
      <c r="I64" s="49"/>
    </row>
    <row r="65" spans="2:9" x14ac:dyDescent="0.25">
      <c r="B65" s="47">
        <v>2068</v>
      </c>
      <c r="C65" s="48">
        <v>135</v>
      </c>
      <c r="D65" s="48">
        <v>329</v>
      </c>
      <c r="E65" s="48">
        <v>523</v>
      </c>
      <c r="F65" s="48">
        <v>135</v>
      </c>
      <c r="G65" s="48">
        <v>329</v>
      </c>
      <c r="H65" s="48">
        <v>523</v>
      </c>
      <c r="I65" s="49"/>
    </row>
    <row r="66" spans="2:9" x14ac:dyDescent="0.25">
      <c r="B66" s="47">
        <v>2069</v>
      </c>
      <c r="C66" s="48">
        <v>134</v>
      </c>
      <c r="D66" s="48">
        <v>332</v>
      </c>
      <c r="E66" s="48">
        <v>529</v>
      </c>
      <c r="F66" s="48">
        <v>134</v>
      </c>
      <c r="G66" s="48">
        <v>332</v>
      </c>
      <c r="H66" s="48">
        <v>529</v>
      </c>
      <c r="I66" s="49"/>
    </row>
    <row r="67" spans="2:9" x14ac:dyDescent="0.25">
      <c r="B67" s="47">
        <v>2070</v>
      </c>
      <c r="C67" s="48">
        <v>134</v>
      </c>
      <c r="D67" s="48">
        <v>334</v>
      </c>
      <c r="E67" s="48">
        <v>534</v>
      </c>
      <c r="F67" s="48">
        <v>134</v>
      </c>
      <c r="G67" s="48">
        <v>334</v>
      </c>
      <c r="H67" s="48">
        <v>534</v>
      </c>
      <c r="I67" s="49"/>
    </row>
    <row r="68" spans="2:9" x14ac:dyDescent="0.25">
      <c r="B68" s="47">
        <v>2071</v>
      </c>
      <c r="C68" s="48">
        <v>133</v>
      </c>
      <c r="D68" s="48">
        <v>336</v>
      </c>
      <c r="E68" s="48">
        <v>539</v>
      </c>
      <c r="F68" s="48">
        <v>133</v>
      </c>
      <c r="G68" s="48">
        <v>336</v>
      </c>
      <c r="H68" s="48">
        <v>539</v>
      </c>
      <c r="I68" s="49"/>
    </row>
    <row r="69" spans="2:9" x14ac:dyDescent="0.25">
      <c r="B69" s="47">
        <v>2072</v>
      </c>
      <c r="C69" s="48">
        <v>132</v>
      </c>
      <c r="D69" s="48">
        <v>338</v>
      </c>
      <c r="E69" s="48">
        <v>544</v>
      </c>
      <c r="F69" s="48">
        <v>132</v>
      </c>
      <c r="G69" s="48">
        <v>338</v>
      </c>
      <c r="H69" s="48">
        <v>544</v>
      </c>
      <c r="I69" s="49"/>
    </row>
    <row r="70" spans="2:9" x14ac:dyDescent="0.25">
      <c r="B70" s="47">
        <v>2073</v>
      </c>
      <c r="C70" s="48">
        <v>131</v>
      </c>
      <c r="D70" s="48">
        <v>339</v>
      </c>
      <c r="E70" s="48">
        <v>548</v>
      </c>
      <c r="F70" s="48">
        <v>131</v>
      </c>
      <c r="G70" s="48">
        <v>339</v>
      </c>
      <c r="H70" s="48">
        <v>548</v>
      </c>
      <c r="I70" s="49"/>
    </row>
    <row r="71" spans="2:9" x14ac:dyDescent="0.25">
      <c r="B71" s="47">
        <v>2074</v>
      </c>
      <c r="C71" s="48">
        <v>129</v>
      </c>
      <c r="D71" s="48">
        <v>340</v>
      </c>
      <c r="E71" s="48">
        <v>551</v>
      </c>
      <c r="F71" s="48">
        <v>129</v>
      </c>
      <c r="G71" s="48">
        <v>340</v>
      </c>
      <c r="H71" s="48">
        <v>551</v>
      </c>
      <c r="I71" s="49"/>
    </row>
    <row r="72" spans="2:9" x14ac:dyDescent="0.25">
      <c r="B72" s="47">
        <v>2075</v>
      </c>
      <c r="C72" s="48">
        <v>128</v>
      </c>
      <c r="D72" s="48">
        <v>341</v>
      </c>
      <c r="E72" s="48">
        <v>555</v>
      </c>
      <c r="F72" s="48">
        <v>128</v>
      </c>
      <c r="G72" s="48">
        <v>341</v>
      </c>
      <c r="H72" s="48">
        <v>555</v>
      </c>
      <c r="I72" s="49"/>
    </row>
    <row r="73" spans="2:9" x14ac:dyDescent="0.25">
      <c r="B73" s="47">
        <v>2076</v>
      </c>
      <c r="C73" s="48">
        <v>126</v>
      </c>
      <c r="D73" s="48">
        <v>341</v>
      </c>
      <c r="E73" s="48">
        <v>556</v>
      </c>
      <c r="F73" s="48">
        <v>126</v>
      </c>
      <c r="G73" s="48">
        <v>341</v>
      </c>
      <c r="H73" s="48">
        <v>556</v>
      </c>
      <c r="I73" s="49"/>
    </row>
    <row r="74" spans="2:9" x14ac:dyDescent="0.25">
      <c r="B74" s="47">
        <v>2077</v>
      </c>
      <c r="C74" s="48">
        <v>125</v>
      </c>
      <c r="D74" s="48">
        <v>341</v>
      </c>
      <c r="E74" s="48">
        <v>558</v>
      </c>
      <c r="F74" s="48">
        <v>125</v>
      </c>
      <c r="G74" s="48">
        <v>341</v>
      </c>
      <c r="H74" s="48">
        <v>558</v>
      </c>
      <c r="I74" s="49"/>
    </row>
    <row r="75" spans="2:9" x14ac:dyDescent="0.25">
      <c r="B75" s="47">
        <v>2078</v>
      </c>
      <c r="C75" s="48">
        <v>123</v>
      </c>
      <c r="D75" s="48">
        <v>341</v>
      </c>
      <c r="E75" s="48">
        <v>559</v>
      </c>
      <c r="F75" s="48">
        <v>123</v>
      </c>
      <c r="G75" s="48">
        <v>341</v>
      </c>
      <c r="H75" s="48">
        <v>559</v>
      </c>
      <c r="I75" s="49"/>
    </row>
    <row r="76" spans="2:9" x14ac:dyDescent="0.25">
      <c r="B76" s="47">
        <v>2079</v>
      </c>
      <c r="C76" s="48">
        <v>121</v>
      </c>
      <c r="D76" s="48">
        <v>340</v>
      </c>
      <c r="E76" s="48">
        <v>560</v>
      </c>
      <c r="F76" s="48">
        <v>121</v>
      </c>
      <c r="G76" s="48">
        <v>340</v>
      </c>
      <c r="H76" s="48">
        <v>560</v>
      </c>
      <c r="I76" s="49"/>
    </row>
    <row r="77" spans="2:9" x14ac:dyDescent="0.25">
      <c r="B77" s="47">
        <v>2080</v>
      </c>
      <c r="C77" s="48">
        <v>119</v>
      </c>
      <c r="D77" s="48">
        <v>339</v>
      </c>
      <c r="E77" s="48">
        <v>560</v>
      </c>
      <c r="F77" s="48">
        <v>119</v>
      </c>
      <c r="G77" s="48">
        <v>339</v>
      </c>
      <c r="H77" s="48">
        <v>560</v>
      </c>
      <c r="I77" s="49"/>
    </row>
    <row r="78" spans="2:9" x14ac:dyDescent="0.25">
      <c r="B78" s="47">
        <v>2081</v>
      </c>
      <c r="C78" s="48">
        <v>117</v>
      </c>
      <c r="D78" s="48">
        <v>339</v>
      </c>
      <c r="E78" s="48">
        <v>561</v>
      </c>
      <c r="F78" s="48">
        <v>117</v>
      </c>
      <c r="G78" s="48">
        <v>339</v>
      </c>
      <c r="H78" s="48">
        <v>561</v>
      </c>
      <c r="I78" s="49"/>
    </row>
    <row r="79" spans="2:9" x14ac:dyDescent="0.25">
      <c r="B79" s="47">
        <v>2082</v>
      </c>
      <c r="C79" s="48">
        <v>115</v>
      </c>
      <c r="D79" s="48">
        <v>338</v>
      </c>
      <c r="E79" s="48">
        <v>561</v>
      </c>
      <c r="F79" s="48">
        <v>115</v>
      </c>
      <c r="G79" s="48">
        <v>338</v>
      </c>
      <c r="H79" s="48">
        <v>561</v>
      </c>
      <c r="I79" s="49"/>
    </row>
    <row r="80" spans="2:9" x14ac:dyDescent="0.25">
      <c r="B80" s="47">
        <v>2083</v>
      </c>
      <c r="C80" s="48">
        <v>113</v>
      </c>
      <c r="D80" s="48">
        <v>337</v>
      </c>
      <c r="E80" s="48">
        <v>561</v>
      </c>
      <c r="F80" s="48">
        <v>113</v>
      </c>
      <c r="G80" s="48">
        <v>337</v>
      </c>
      <c r="H80" s="48">
        <v>561</v>
      </c>
      <c r="I80" s="49"/>
    </row>
    <row r="81" spans="2:9" x14ac:dyDescent="0.25">
      <c r="B81" s="47">
        <v>2084</v>
      </c>
      <c r="C81" s="48">
        <v>111</v>
      </c>
      <c r="D81" s="48">
        <v>336</v>
      </c>
      <c r="E81" s="48">
        <v>561</v>
      </c>
      <c r="F81" s="48">
        <v>111</v>
      </c>
      <c r="G81" s="48">
        <v>336</v>
      </c>
      <c r="H81" s="48">
        <v>561</v>
      </c>
      <c r="I81" s="49"/>
    </row>
    <row r="82" spans="2:9" x14ac:dyDescent="0.25">
      <c r="B82" s="47">
        <v>2085</v>
      </c>
      <c r="C82" s="48">
        <v>109</v>
      </c>
      <c r="D82" s="48">
        <v>335</v>
      </c>
      <c r="E82" s="48">
        <v>561</v>
      </c>
      <c r="F82" s="48">
        <v>109</v>
      </c>
      <c r="G82" s="48">
        <v>335</v>
      </c>
      <c r="H82" s="48">
        <v>561</v>
      </c>
      <c r="I82" s="49"/>
    </row>
    <row r="83" spans="2:9" x14ac:dyDescent="0.25">
      <c r="B83" s="47">
        <v>2086</v>
      </c>
      <c r="C83" s="48">
        <v>107</v>
      </c>
      <c r="D83" s="48">
        <v>333</v>
      </c>
      <c r="E83" s="48">
        <v>560</v>
      </c>
      <c r="F83" s="48">
        <v>107</v>
      </c>
      <c r="G83" s="48">
        <v>333</v>
      </c>
      <c r="H83" s="48">
        <v>560</v>
      </c>
      <c r="I83" s="49"/>
    </row>
    <row r="84" spans="2:9" x14ac:dyDescent="0.25">
      <c r="B84" s="47">
        <v>2087</v>
      </c>
      <c r="C84" s="48">
        <v>104</v>
      </c>
      <c r="D84" s="48">
        <v>331</v>
      </c>
      <c r="E84" s="48">
        <v>558</v>
      </c>
      <c r="F84" s="48">
        <v>104</v>
      </c>
      <c r="G84" s="48">
        <v>331</v>
      </c>
      <c r="H84" s="48">
        <v>558</v>
      </c>
      <c r="I84" s="49"/>
    </row>
    <row r="85" spans="2:9" x14ac:dyDescent="0.25">
      <c r="B85" s="47">
        <v>2088</v>
      </c>
      <c r="C85" s="48">
        <v>102</v>
      </c>
      <c r="D85" s="48">
        <v>329</v>
      </c>
      <c r="E85" s="48">
        <v>556</v>
      </c>
      <c r="F85" s="48">
        <v>102</v>
      </c>
      <c r="G85" s="48">
        <v>329</v>
      </c>
      <c r="H85" s="48">
        <v>556</v>
      </c>
      <c r="I85" s="49"/>
    </row>
    <row r="86" spans="2:9" x14ac:dyDescent="0.25">
      <c r="B86" s="47">
        <v>2089</v>
      </c>
      <c r="C86" s="48">
        <v>100</v>
      </c>
      <c r="D86" s="48">
        <v>327</v>
      </c>
      <c r="E86" s="48">
        <v>554</v>
      </c>
      <c r="F86" s="48">
        <v>100</v>
      </c>
      <c r="G86" s="48">
        <v>327</v>
      </c>
      <c r="H86" s="48">
        <v>554</v>
      </c>
      <c r="I86" s="49"/>
    </row>
    <row r="87" spans="2:9" x14ac:dyDescent="0.25">
      <c r="B87" s="47">
        <v>2090</v>
      </c>
      <c r="C87" s="48">
        <v>97</v>
      </c>
      <c r="D87" s="48">
        <v>324</v>
      </c>
      <c r="E87" s="48">
        <v>551</v>
      </c>
      <c r="F87" s="48">
        <v>97</v>
      </c>
      <c r="G87" s="48">
        <v>324</v>
      </c>
      <c r="H87" s="48">
        <v>551</v>
      </c>
      <c r="I87" s="49"/>
    </row>
    <row r="88" spans="2:9" x14ac:dyDescent="0.25">
      <c r="B88" s="47">
        <v>2091</v>
      </c>
      <c r="C88" s="48">
        <v>95</v>
      </c>
      <c r="D88" s="48">
        <v>322</v>
      </c>
      <c r="E88" s="48">
        <v>550</v>
      </c>
      <c r="F88" s="48">
        <v>95</v>
      </c>
      <c r="G88" s="48">
        <v>322</v>
      </c>
      <c r="H88" s="48">
        <v>550</v>
      </c>
      <c r="I88" s="49"/>
    </row>
    <row r="89" spans="2:9" x14ac:dyDescent="0.25">
      <c r="B89" s="47">
        <v>2092</v>
      </c>
      <c r="C89" s="48">
        <v>93</v>
      </c>
      <c r="D89" s="48">
        <v>320</v>
      </c>
      <c r="E89" s="48">
        <v>548</v>
      </c>
      <c r="F89" s="48">
        <v>93</v>
      </c>
      <c r="G89" s="48">
        <v>320</v>
      </c>
      <c r="H89" s="48">
        <v>548</v>
      </c>
      <c r="I89" s="49"/>
    </row>
    <row r="90" spans="2:9" x14ac:dyDescent="0.25">
      <c r="B90" s="47">
        <v>2093</v>
      </c>
      <c r="C90" s="48">
        <v>91</v>
      </c>
      <c r="D90" s="48">
        <v>318</v>
      </c>
      <c r="E90" s="48">
        <v>545</v>
      </c>
      <c r="F90" s="48">
        <v>91</v>
      </c>
      <c r="G90" s="48">
        <v>318</v>
      </c>
      <c r="H90" s="48">
        <v>545</v>
      </c>
      <c r="I90" s="49"/>
    </row>
    <row r="91" spans="2:9" x14ac:dyDescent="0.25">
      <c r="B91" s="47">
        <v>2094</v>
      </c>
      <c r="C91" s="48">
        <v>88</v>
      </c>
      <c r="D91" s="48">
        <v>315</v>
      </c>
      <c r="E91" s="48">
        <v>542</v>
      </c>
      <c r="F91" s="48">
        <v>88</v>
      </c>
      <c r="G91" s="48">
        <v>315</v>
      </c>
      <c r="H91" s="48">
        <v>542</v>
      </c>
      <c r="I91" s="49"/>
    </row>
    <row r="92" spans="2:9" x14ac:dyDescent="0.25">
      <c r="B92" s="47">
        <v>2095</v>
      </c>
      <c r="C92" s="48">
        <v>86</v>
      </c>
      <c r="D92" s="48">
        <v>312</v>
      </c>
      <c r="E92" s="48">
        <v>539</v>
      </c>
      <c r="F92" s="48">
        <v>86</v>
      </c>
      <c r="G92" s="48">
        <v>312</v>
      </c>
      <c r="H92" s="48">
        <v>539</v>
      </c>
      <c r="I92" s="49"/>
    </row>
    <row r="93" spans="2:9" x14ac:dyDescent="0.25">
      <c r="B93" s="47">
        <v>2096</v>
      </c>
      <c r="C93" s="48">
        <v>84</v>
      </c>
      <c r="D93" s="48">
        <v>309</v>
      </c>
      <c r="E93" s="48">
        <v>535</v>
      </c>
      <c r="F93" s="48">
        <v>84</v>
      </c>
      <c r="G93" s="48">
        <v>309</v>
      </c>
      <c r="H93" s="48">
        <v>535</v>
      </c>
      <c r="I93" s="49"/>
    </row>
    <row r="94" spans="2:9" x14ac:dyDescent="0.25">
      <c r="B94" s="47">
        <v>2097</v>
      </c>
      <c r="C94" s="48">
        <v>81</v>
      </c>
      <c r="D94" s="48">
        <v>307</v>
      </c>
      <c r="E94" s="48">
        <v>532</v>
      </c>
      <c r="F94" s="48">
        <v>81</v>
      </c>
      <c r="G94" s="48">
        <v>307</v>
      </c>
      <c r="H94" s="48">
        <v>532</v>
      </c>
      <c r="I94" s="49"/>
    </row>
    <row r="95" spans="2:9" x14ac:dyDescent="0.25">
      <c r="B95" s="47">
        <v>2098</v>
      </c>
      <c r="C95" s="48">
        <v>79</v>
      </c>
      <c r="D95" s="48">
        <v>303</v>
      </c>
      <c r="E95" s="48">
        <v>528</v>
      </c>
      <c r="F95" s="48">
        <v>79</v>
      </c>
      <c r="G95" s="48">
        <v>303</v>
      </c>
      <c r="H95" s="48">
        <v>528</v>
      </c>
      <c r="I95" s="49"/>
    </row>
    <row r="96" spans="2:9" x14ac:dyDescent="0.25">
      <c r="B96" s="47">
        <v>2099</v>
      </c>
      <c r="C96" s="48">
        <v>77</v>
      </c>
      <c r="D96" s="48">
        <v>301</v>
      </c>
      <c r="E96" s="48">
        <v>524</v>
      </c>
      <c r="F96" s="48">
        <v>77</v>
      </c>
      <c r="G96" s="48">
        <v>301</v>
      </c>
      <c r="H96" s="48">
        <v>524</v>
      </c>
      <c r="I96" s="49"/>
    </row>
    <row r="97" spans="2:9" x14ac:dyDescent="0.25">
      <c r="B97" s="47">
        <v>2100</v>
      </c>
      <c r="C97" s="48">
        <v>74</v>
      </c>
      <c r="D97" s="48">
        <v>297</v>
      </c>
      <c r="E97" s="48">
        <v>520</v>
      </c>
      <c r="F97" s="48">
        <v>74</v>
      </c>
      <c r="G97" s="48">
        <v>297</v>
      </c>
      <c r="H97" s="48">
        <v>520</v>
      </c>
      <c r="I97" s="49"/>
    </row>
    <row r="98" spans="2:9" x14ac:dyDescent="0.25">
      <c r="B98" s="47"/>
      <c r="C98" s="48"/>
      <c r="D98" s="48"/>
      <c r="E98" s="48"/>
      <c r="F98" s="48"/>
      <c r="G98" s="48"/>
      <c r="H98" s="48"/>
      <c r="I98" s="49"/>
    </row>
    <row r="99" spans="2:9" ht="15.75" thickBot="1" x14ac:dyDescent="0.3">
      <c r="B99" s="50" t="s">
        <v>86</v>
      </c>
      <c r="C99" s="51"/>
      <c r="D99" s="51"/>
      <c r="E99" s="51"/>
      <c r="F99" s="51"/>
      <c r="G99" s="51"/>
      <c r="H99" s="51"/>
      <c r="I99" s="52"/>
    </row>
    <row r="101" spans="2:9" x14ac:dyDescent="0.25">
      <c r="B101" s="44" t="s">
        <v>87</v>
      </c>
      <c r="C101" s="44"/>
      <c r="D101" s="44"/>
      <c r="E101" s="44"/>
      <c r="F101" s="44"/>
      <c r="G101" s="44"/>
      <c r="H101" s="44"/>
      <c r="I101" s="44"/>
    </row>
    <row r="102" spans="2:9" x14ac:dyDescent="0.25">
      <c r="B102" s="255" t="s">
        <v>88</v>
      </c>
      <c r="C102" s="44"/>
      <c r="D102" s="44"/>
      <c r="E102" s="44"/>
      <c r="F102" s="44"/>
      <c r="G102" s="44"/>
      <c r="H102" s="44"/>
      <c r="I102" s="44"/>
    </row>
    <row r="105" spans="2:9" x14ac:dyDescent="0.25">
      <c r="B105" s="44" t="s">
        <v>89</v>
      </c>
      <c r="C105" s="44"/>
      <c r="D105" s="44"/>
      <c r="E105" s="44"/>
      <c r="F105" s="44"/>
      <c r="G105" s="44"/>
      <c r="H105" s="44"/>
      <c r="I105" s="44"/>
    </row>
    <row r="106" spans="2:9" x14ac:dyDescent="0.25">
      <c r="B106" s="255" t="s">
        <v>90</v>
      </c>
      <c r="C106" s="44"/>
      <c r="D106" s="44"/>
      <c r="E106" s="44"/>
      <c r="F106" s="44"/>
      <c r="G106" s="44"/>
      <c r="H106" s="44"/>
      <c r="I106" s="44"/>
    </row>
  </sheetData>
  <hyperlinks>
    <hyperlink ref="B102" r:id="rId1"/>
    <hyperlink ref="B10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Full Cycle Summary</vt:lpstr>
      <vt:lpstr>CO2 Impact Assessment</vt:lpstr>
      <vt:lpstr>Full Cycle Cost Benefit</vt:lpstr>
      <vt:lpstr>Scenario 1 - NTS Delivery</vt:lpstr>
      <vt:lpstr>Scenario 2 - Offshore Removal</vt:lpstr>
      <vt:lpstr>Scenario 3 - Onshore Removal</vt:lpstr>
      <vt:lpstr>Assumptions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sfarooq</dc:creator>
  <cp:lastModifiedBy>David</cp:lastModifiedBy>
  <dcterms:created xsi:type="dcterms:W3CDTF">2013-05-01T20:24:27Z</dcterms:created>
  <dcterms:modified xsi:type="dcterms:W3CDTF">2015-05-26T10:01:48Z</dcterms:modified>
</cp:coreProperties>
</file>