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C:\Users\JOpc1\Dropbox\JO Shared Area\Modifications\0601 - 0650\0636\Workgroup report\"/>
    </mc:Choice>
  </mc:AlternateContent>
  <bookViews>
    <workbookView xWindow="0" yWindow="0" windowWidth="20490" windowHeight="7530" xr2:uid="{00000000-000D-0000-FFFF-FFFF00000000}"/>
  </bookViews>
  <sheets>
    <sheet name="Cover Sheet" sheetId="17" r:id="rId1"/>
    <sheet name="Original Formula" sheetId="6" r:id="rId2"/>
    <sheet name="NTS GCD11 Option Two" sheetId="18" r:id="rId3"/>
    <sheet name="Version History" sheetId="19" r:id="rId4"/>
  </sheets>
  <definedNames>
    <definedName name="_Toc424626359" localSheetId="3">'Version History'!$B$2</definedName>
  </definedNames>
  <calcPr calcId="171027"/>
</workbook>
</file>

<file path=xl/calcChain.xml><?xml version="1.0" encoding="utf-8"?>
<calcChain xmlns="http://schemas.openxmlformats.org/spreadsheetml/2006/main">
  <c r="L294" i="18" l="1"/>
  <c r="E33" i="18"/>
  <c r="E30" i="18"/>
  <c r="D37" i="18"/>
  <c r="D39" i="18"/>
  <c r="D38" i="18"/>
  <c r="D33" i="18"/>
  <c r="D34" i="18"/>
  <c r="E34" i="18" s="1"/>
  <c r="D30" i="18"/>
  <c r="C31" i="18"/>
  <c r="D31" i="18" s="1"/>
  <c r="E31" i="18" s="1"/>
  <c r="C32" i="18"/>
  <c r="D32" i="18" s="1"/>
  <c r="E32" i="18" s="1"/>
  <c r="C33" i="18"/>
  <c r="C34" i="18"/>
  <c r="C35" i="18"/>
  <c r="D35" i="18" s="1"/>
  <c r="E35" i="18" s="1"/>
  <c r="C36" i="18"/>
  <c r="D36" i="18" s="1"/>
  <c r="E36" i="18" s="1"/>
  <c r="C30" i="18"/>
  <c r="B48" i="18" l="1"/>
  <c r="B47" i="18"/>
  <c r="B83" i="18"/>
  <c r="L265" i="18" l="1"/>
  <c r="D59" i="18"/>
  <c r="E59" i="18" s="1"/>
  <c r="B96" i="18" s="1"/>
  <c r="D60" i="18"/>
  <c r="E60" i="18" s="1"/>
  <c r="B97" i="18" s="1"/>
  <c r="D61" i="18"/>
  <c r="E61" i="18" s="1"/>
  <c r="B98" i="18" s="1"/>
  <c r="D62" i="18"/>
  <c r="E62" i="18" s="1"/>
  <c r="B99" i="18" s="1"/>
  <c r="D63" i="18"/>
  <c r="E63" i="18" s="1"/>
  <c r="B100" i="18" s="1"/>
  <c r="D64" i="18"/>
  <c r="E64" i="18" s="1"/>
  <c r="B101" i="18" s="1"/>
  <c r="D65" i="18"/>
  <c r="E65" i="18" s="1"/>
  <c r="B102" i="18" s="1"/>
  <c r="D66" i="18"/>
  <c r="E66" i="18" s="1"/>
  <c r="B103" i="18" s="1"/>
  <c r="D67" i="18"/>
  <c r="E67" i="18" s="1"/>
  <c r="B104" i="18" s="1"/>
  <c r="D68" i="18"/>
  <c r="E68" i="18" s="1"/>
  <c r="B105" i="18" s="1"/>
  <c r="D69" i="18"/>
  <c r="E69" i="18" s="1"/>
  <c r="B106" i="18" s="1"/>
  <c r="D70" i="18"/>
  <c r="E70" i="18" s="1"/>
  <c r="B107" i="18" s="1"/>
  <c r="D71" i="18"/>
  <c r="E71" i="18" s="1"/>
  <c r="B108" i="18" s="1"/>
  <c r="D72" i="18"/>
  <c r="E72" i="18" s="1"/>
  <c r="B109" i="18" s="1"/>
  <c r="D73" i="18"/>
  <c r="E73" i="18" s="1"/>
  <c r="B110" i="18" s="1"/>
  <c r="D74" i="18"/>
  <c r="E74" i="18" s="1"/>
  <c r="B111" i="18" s="1"/>
  <c r="D75" i="18"/>
  <c r="E75" i="18" s="1"/>
  <c r="B112" i="18" s="1"/>
  <c r="D76" i="18"/>
  <c r="E76" i="18" s="1"/>
  <c r="B113" i="18" s="1"/>
  <c r="D58" i="18"/>
  <c r="E58" i="18" s="1"/>
  <c r="B95" i="18" s="1"/>
  <c r="C83" i="18"/>
  <c r="B84" i="18"/>
  <c r="C84" i="18" s="1"/>
  <c r="B85" i="18"/>
  <c r="C85" i="18" s="1"/>
  <c r="B86" i="18"/>
  <c r="C86" i="18" s="1"/>
  <c r="B87" i="18"/>
  <c r="C87" i="18" s="1"/>
  <c r="B88" i="18"/>
  <c r="C88" i="18" s="1"/>
  <c r="J111" i="18" l="1"/>
  <c r="J107" i="18"/>
  <c r="J103" i="18"/>
  <c r="J99" i="18"/>
  <c r="J109" i="18"/>
  <c r="J101" i="18"/>
  <c r="J108" i="18"/>
  <c r="J100" i="18"/>
  <c r="J110" i="18"/>
  <c r="J106" i="18"/>
  <c r="J102" i="18"/>
  <c r="J113" i="18"/>
  <c r="J105" i="18"/>
  <c r="J112" i="18"/>
  <c r="J104" i="18"/>
  <c r="G103" i="18"/>
  <c r="G107" i="18"/>
  <c r="G111" i="18"/>
  <c r="G96" i="18"/>
  <c r="G95" i="18"/>
  <c r="H104" i="18"/>
  <c r="H108" i="18"/>
  <c r="H112" i="18"/>
  <c r="H97" i="18"/>
  <c r="I113" i="18"/>
  <c r="I110" i="18"/>
  <c r="I106" i="18"/>
  <c r="I102" i="18"/>
  <c r="G105" i="18"/>
  <c r="I103" i="18"/>
  <c r="G102" i="18"/>
  <c r="G110" i="18"/>
  <c r="G100" i="18"/>
  <c r="H103" i="18"/>
  <c r="H111" i="18"/>
  <c r="I109" i="18"/>
  <c r="I101" i="18"/>
  <c r="G104" i="18"/>
  <c r="G108" i="18"/>
  <c r="G112" i="18"/>
  <c r="G97" i="18"/>
  <c r="H101" i="18"/>
  <c r="H105" i="18"/>
  <c r="H109" i="18"/>
  <c r="H113" i="18"/>
  <c r="H98" i="18"/>
  <c r="I107" i="18"/>
  <c r="I111" i="18"/>
  <c r="I104" i="18"/>
  <c r="I95" i="18"/>
  <c r="G101" i="18"/>
  <c r="G109" i="18"/>
  <c r="G113" i="18"/>
  <c r="G98" i="18"/>
  <c r="H102" i="18"/>
  <c r="H106" i="18"/>
  <c r="H110" i="18"/>
  <c r="H100" i="18"/>
  <c r="H99" i="18"/>
  <c r="I108" i="18"/>
  <c r="I112" i="18"/>
  <c r="G106" i="18"/>
  <c r="G99" i="18"/>
  <c r="H107" i="18"/>
  <c r="H96" i="18"/>
  <c r="H95" i="18"/>
  <c r="I105" i="18"/>
  <c r="C95" i="18"/>
  <c r="L192" i="6" l="1"/>
  <c r="E134" i="6"/>
  <c r="F134" i="6" s="1"/>
  <c r="B6" i="18" l="1"/>
  <c r="B7" i="18"/>
  <c r="B8" i="18"/>
  <c r="B9" i="18"/>
  <c r="B10" i="18"/>
  <c r="B11" i="18"/>
  <c r="B12" i="18"/>
  <c r="B13" i="18"/>
  <c r="B14" i="18"/>
  <c r="B15" i="18"/>
  <c r="B16" i="18"/>
  <c r="B17" i="18"/>
  <c r="B18" i="18"/>
  <c r="B19" i="18"/>
  <c r="B20" i="18"/>
  <c r="B21" i="18"/>
  <c r="B22" i="18"/>
  <c r="B23" i="18"/>
  <c r="B24" i="18"/>
  <c r="D95" i="18"/>
  <c r="E95" i="18"/>
  <c r="F95" i="18"/>
  <c r="D96" i="18"/>
  <c r="C96" i="18"/>
  <c r="F96" i="18"/>
  <c r="C97" i="18"/>
  <c r="C98" i="18"/>
  <c r="F98" i="18"/>
  <c r="E99" i="18"/>
  <c r="D100" i="18"/>
  <c r="C100" i="18"/>
  <c r="F100" i="18"/>
  <c r="C101" i="18"/>
  <c r="C102" i="18"/>
  <c r="D102" i="18"/>
  <c r="E102" i="18"/>
  <c r="F102" i="18"/>
  <c r="C103" i="18"/>
  <c r="F104" i="18"/>
  <c r="C105" i="18"/>
  <c r="C106" i="18"/>
  <c r="D106" i="18"/>
  <c r="F106" i="18"/>
  <c r="F107" i="18"/>
  <c r="E108" i="18"/>
  <c r="C109" i="18"/>
  <c r="C110" i="18"/>
  <c r="D110" i="18"/>
  <c r="E110" i="18"/>
  <c r="F110" i="18"/>
  <c r="F111" i="18"/>
  <c r="E112" i="18"/>
  <c r="C113" i="18"/>
  <c r="D113" i="18"/>
  <c r="E113" i="18"/>
  <c r="F113" i="18"/>
  <c r="B118" i="18"/>
  <c r="B119" i="18" s="1"/>
  <c r="B120" i="18" s="1"/>
  <c r="D191" i="18"/>
  <c r="E191" i="18" s="1"/>
  <c r="F191" i="18"/>
  <c r="D192" i="18"/>
  <c r="D193" i="18"/>
  <c r="F193" i="18" s="1"/>
  <c r="E193" i="18"/>
  <c r="D194" i="18"/>
  <c r="E194" i="18" s="1"/>
  <c r="D195" i="18"/>
  <c r="E195" i="18" s="1"/>
  <c r="F195" i="18"/>
  <c r="D196" i="18"/>
  <c r="D197" i="18"/>
  <c r="F197" i="18" s="1"/>
  <c r="E197" i="18"/>
  <c r="D198" i="18"/>
  <c r="E198" i="18" s="1"/>
  <c r="D199" i="18"/>
  <c r="E199" i="18" s="1"/>
  <c r="F199" i="18"/>
  <c r="D200" i="18"/>
  <c r="D201" i="18"/>
  <c r="F201" i="18" s="1"/>
  <c r="E201" i="18"/>
  <c r="D202" i="18"/>
  <c r="E202" i="18" s="1"/>
  <c r="D203" i="18"/>
  <c r="E203" i="18" s="1"/>
  <c r="F203" i="18"/>
  <c r="D204" i="18"/>
  <c r="D205" i="18"/>
  <c r="F205" i="18" s="1"/>
  <c r="E205" i="18"/>
  <c r="D206" i="18"/>
  <c r="E206" i="18" s="1"/>
  <c r="D207" i="18"/>
  <c r="F207" i="18" s="1"/>
  <c r="E207" i="18"/>
  <c r="D208" i="18"/>
  <c r="D209" i="18"/>
  <c r="F209" i="18" s="1"/>
  <c r="E209" i="18"/>
  <c r="B6" i="6"/>
  <c r="B7" i="6"/>
  <c r="B8" i="6"/>
  <c r="B9" i="6"/>
  <c r="B10" i="6"/>
  <c r="B11" i="6"/>
  <c r="B12" i="6"/>
  <c r="B13" i="6"/>
  <c r="B14" i="6"/>
  <c r="B15" i="6"/>
  <c r="B16" i="6"/>
  <c r="B17" i="6"/>
  <c r="B18" i="6"/>
  <c r="B19" i="6"/>
  <c r="B53" i="6"/>
  <c r="I53" i="6" s="1"/>
  <c r="C53" i="6"/>
  <c r="G53" i="6"/>
  <c r="B54" i="6"/>
  <c r="F54" i="6" s="1"/>
  <c r="C54" i="6"/>
  <c r="G54" i="6"/>
  <c r="J54" i="6"/>
  <c r="B55" i="6"/>
  <c r="I55" i="6" s="1"/>
  <c r="D55" i="6"/>
  <c r="F55" i="6"/>
  <c r="H55" i="6"/>
  <c r="J55" i="6"/>
  <c r="B56" i="6"/>
  <c r="I56" i="6" s="1"/>
  <c r="C56" i="6"/>
  <c r="D56" i="6"/>
  <c r="F56" i="6"/>
  <c r="G56" i="6"/>
  <c r="H56" i="6"/>
  <c r="B57" i="6"/>
  <c r="I57" i="6" s="1"/>
  <c r="B58" i="6"/>
  <c r="C58" i="6"/>
  <c r="G58" i="6"/>
  <c r="J58" i="6"/>
  <c r="B59" i="6"/>
  <c r="I59" i="6" s="1"/>
  <c r="H59" i="6"/>
  <c r="J59" i="6"/>
  <c r="B60" i="6"/>
  <c r="I60" i="6" s="1"/>
  <c r="B61" i="6"/>
  <c r="D61" i="6" s="1"/>
  <c r="J61" i="6"/>
  <c r="B62" i="6"/>
  <c r="D62" i="6" s="1"/>
  <c r="C62" i="6"/>
  <c r="E62" i="6"/>
  <c r="F62" i="6"/>
  <c r="G62" i="6"/>
  <c r="I62" i="6"/>
  <c r="J62" i="6"/>
  <c r="B63" i="6"/>
  <c r="D63" i="6" s="1"/>
  <c r="B64" i="6"/>
  <c r="C64" i="6"/>
  <c r="D64" i="6"/>
  <c r="E64" i="6"/>
  <c r="F64" i="6"/>
  <c r="G64" i="6"/>
  <c r="H64" i="6"/>
  <c r="I64" i="6"/>
  <c r="J64" i="6"/>
  <c r="B65" i="6"/>
  <c r="B66" i="6"/>
  <c r="D66" i="6" s="1"/>
  <c r="C66" i="6"/>
  <c r="G66" i="6"/>
  <c r="I66" i="6"/>
  <c r="B72" i="6"/>
  <c r="B73" i="6"/>
  <c r="B74" i="6"/>
  <c r="G134" i="6"/>
  <c r="E135" i="6"/>
  <c r="E136" i="6"/>
  <c r="E137" i="6"/>
  <c r="E138" i="6"/>
  <c r="F138" i="6" s="1"/>
  <c r="G138" i="6"/>
  <c r="E139" i="6"/>
  <c r="E140" i="6"/>
  <c r="E141" i="6"/>
  <c r="E142" i="6"/>
  <c r="E143" i="6"/>
  <c r="E144" i="6"/>
  <c r="F144" i="6" s="1"/>
  <c r="E145" i="6"/>
  <c r="E146" i="6"/>
  <c r="F146" i="6" s="1"/>
  <c r="G146" i="6"/>
  <c r="E147" i="6"/>
  <c r="F147" i="6" s="1"/>
  <c r="G147" i="6"/>
  <c r="L216" i="6"/>
  <c r="G140" i="6" l="1"/>
  <c r="F140" i="6"/>
  <c r="F60" i="6"/>
  <c r="G143" i="6"/>
  <c r="F143" i="6"/>
  <c r="G136" i="6"/>
  <c r="F136" i="6"/>
  <c r="H61" i="6"/>
  <c r="E60" i="6"/>
  <c r="D58" i="6"/>
  <c r="I58" i="6"/>
  <c r="G142" i="6"/>
  <c r="F142" i="6"/>
  <c r="G135" i="6"/>
  <c r="F135" i="6"/>
  <c r="F66" i="6"/>
  <c r="F63" i="6"/>
  <c r="F61" i="6"/>
  <c r="H60" i="6"/>
  <c r="D60" i="6"/>
  <c r="F58" i="6"/>
  <c r="J53" i="6"/>
  <c r="E53" i="6"/>
  <c r="F206" i="18"/>
  <c r="F202" i="18"/>
  <c r="F198" i="18"/>
  <c r="F194" i="18"/>
  <c r="G137" i="6"/>
  <c r="F137" i="6"/>
  <c r="J63" i="6"/>
  <c r="G139" i="6"/>
  <c r="F139" i="6"/>
  <c r="H63" i="6"/>
  <c r="J60" i="6"/>
  <c r="D54" i="6"/>
  <c r="I54" i="6"/>
  <c r="F53" i="6"/>
  <c r="G145" i="6"/>
  <c r="F145" i="6"/>
  <c r="G144" i="6"/>
  <c r="G141" i="6"/>
  <c r="F141" i="6"/>
  <c r="J66" i="6"/>
  <c r="E66" i="6"/>
  <c r="G60" i="6"/>
  <c r="C60" i="6"/>
  <c r="E58" i="6"/>
  <c r="J56" i="6"/>
  <c r="E56" i="6"/>
  <c r="E54" i="6"/>
  <c r="H53" i="6"/>
  <c r="D53" i="6"/>
  <c r="E97" i="18"/>
  <c r="F99" i="18"/>
  <c r="D97" i="18"/>
  <c r="E96" i="18"/>
  <c r="F97" i="18"/>
  <c r="F109" i="18"/>
  <c r="F101" i="18"/>
  <c r="D109" i="18"/>
  <c r="D105" i="18"/>
  <c r="F103" i="18"/>
  <c r="D101" i="18"/>
  <c r="E100" i="18"/>
  <c r="F105" i="18"/>
  <c r="E109" i="18"/>
  <c r="E105" i="18"/>
  <c r="B121" i="18"/>
  <c r="B122" i="18" s="1"/>
  <c r="B123" i="18" s="1"/>
  <c r="B124" i="18" s="1"/>
  <c r="B125" i="18" s="1"/>
  <c r="B126" i="18" s="1"/>
  <c r="E204" i="18"/>
  <c r="F204" i="18"/>
  <c r="E200" i="18"/>
  <c r="F200" i="18"/>
  <c r="C108" i="18"/>
  <c r="D108" i="18"/>
  <c r="I98" i="18"/>
  <c r="D98" i="18"/>
  <c r="E98" i="18"/>
  <c r="E196" i="18"/>
  <c r="F196" i="18"/>
  <c r="E192" i="18"/>
  <c r="F192" i="18"/>
  <c r="D111" i="18"/>
  <c r="E111" i="18"/>
  <c r="D107" i="18"/>
  <c r="E107" i="18"/>
  <c r="C104" i="18"/>
  <c r="D104" i="18"/>
  <c r="C112" i="18"/>
  <c r="D112" i="18"/>
  <c r="E208" i="18"/>
  <c r="F208" i="18"/>
  <c r="F112" i="18"/>
  <c r="C111" i="18"/>
  <c r="F108" i="18"/>
  <c r="C107" i="18"/>
  <c r="E104" i="18"/>
  <c r="D103" i="18"/>
  <c r="E103" i="18"/>
  <c r="I99" i="18"/>
  <c r="C99" i="18"/>
  <c r="D99" i="18"/>
  <c r="I97" i="18"/>
  <c r="C48" i="18"/>
  <c r="E39" i="18" s="1"/>
  <c r="E106" i="18"/>
  <c r="E101" i="18"/>
  <c r="I100" i="18"/>
  <c r="I96" i="18"/>
  <c r="C47" i="18"/>
  <c r="E38" i="18" s="1"/>
  <c r="E57" i="6"/>
  <c r="C57" i="6"/>
  <c r="G57" i="6"/>
  <c r="D57" i="6"/>
  <c r="F57" i="6"/>
  <c r="H57" i="6"/>
  <c r="J57" i="6"/>
  <c r="E65" i="6"/>
  <c r="I65" i="6"/>
  <c r="C65" i="6"/>
  <c r="G65" i="6"/>
  <c r="D65" i="6"/>
  <c r="F65" i="6"/>
  <c r="H65" i="6"/>
  <c r="J65" i="6"/>
  <c r="C59" i="6"/>
  <c r="G59" i="6"/>
  <c r="E59" i="6"/>
  <c r="D59" i="6"/>
  <c r="F59" i="6"/>
  <c r="B75" i="6"/>
  <c r="B76" i="6" s="1"/>
  <c r="B77" i="6" s="1"/>
  <c r="B78" i="6" s="1"/>
  <c r="B79" i="6" s="1"/>
  <c r="B80" i="6" s="1"/>
  <c r="C63" i="6"/>
  <c r="G63" i="6"/>
  <c r="E63" i="6"/>
  <c r="I63" i="6"/>
  <c r="E61" i="6"/>
  <c r="I61" i="6"/>
  <c r="C61" i="6"/>
  <c r="G61" i="6"/>
  <c r="C55" i="6"/>
  <c r="G55" i="6"/>
  <c r="E55" i="6"/>
  <c r="H66" i="6"/>
  <c r="H62" i="6"/>
  <c r="H58" i="6"/>
  <c r="H54" i="6"/>
  <c r="J95" i="18" l="1"/>
  <c r="J98" i="18"/>
  <c r="J96" i="18"/>
  <c r="J97" i="18"/>
  <c r="B81" i="6"/>
  <c r="B83" i="6" s="1"/>
  <c r="E99" i="6" s="1"/>
  <c r="B127" i="18"/>
  <c r="B129" i="18" s="1"/>
  <c r="G97" i="6"/>
  <c r="E97" i="6"/>
  <c r="I100" i="6"/>
  <c r="H90" i="6"/>
  <c r="I91" i="6"/>
  <c r="E92" i="6"/>
  <c r="J97" i="6"/>
  <c r="B99" i="6"/>
  <c r="E94" i="6"/>
  <c r="E112" i="6" s="1"/>
  <c r="F95" i="6"/>
  <c r="D99" i="6"/>
  <c r="E96" i="6"/>
  <c r="E114" i="6" s="1"/>
  <c r="C101" i="6"/>
  <c r="D89" i="6"/>
  <c r="G93" i="6"/>
  <c r="H94" i="6"/>
  <c r="H112" i="6" s="1"/>
  <c r="E91" i="6"/>
  <c r="I92" i="6"/>
  <c r="E102" i="6"/>
  <c r="D95" i="6"/>
  <c r="D97" i="6"/>
  <c r="I96" i="6"/>
  <c r="I114" i="6" s="1"/>
  <c r="D101" i="6"/>
  <c r="C90" i="6"/>
  <c r="C93" i="6"/>
  <c r="H98" i="6"/>
  <c r="B97" i="6"/>
  <c r="I97" i="6"/>
  <c r="E100" i="6"/>
  <c r="I95" i="6"/>
  <c r="J101" i="6"/>
  <c r="B101" i="6"/>
  <c r="D93" i="6"/>
  <c r="I93" i="6"/>
  <c r="I89" i="6"/>
  <c r="C89" i="6"/>
  <c r="C107" i="6" s="1"/>
  <c r="J91" i="6"/>
  <c r="F92" i="6"/>
  <c r="J96" i="6"/>
  <c r="J114" i="6" s="1"/>
  <c r="F100" i="6"/>
  <c r="I195" i="6"/>
  <c r="F89" i="6"/>
  <c r="F90" i="6"/>
  <c r="F94" i="6"/>
  <c r="F112" i="6" s="1"/>
  <c r="D96" i="6"/>
  <c r="D114" i="6" s="1"/>
  <c r="B98" i="6"/>
  <c r="B92" i="6"/>
  <c r="F96" i="6"/>
  <c r="F114" i="6" s="1"/>
  <c r="H100" i="6"/>
  <c r="B89" i="6"/>
  <c r="B107" i="6" s="1"/>
  <c r="B152" i="6" s="1"/>
  <c r="B175" i="6" s="1"/>
  <c r="C175" i="6" s="1"/>
  <c r="D92" i="6"/>
  <c r="J94" i="6"/>
  <c r="J112" i="6" s="1"/>
  <c r="H96" i="6"/>
  <c r="H114" i="6" s="1"/>
  <c r="F98" i="6"/>
  <c r="J100" i="6"/>
  <c r="B102" i="6"/>
  <c r="H89" i="6"/>
  <c r="J90" i="6"/>
  <c r="H91" i="6"/>
  <c r="J92" i="6"/>
  <c r="J98" i="6"/>
  <c r="B100" i="6"/>
  <c r="F102" i="6"/>
  <c r="B94" i="6"/>
  <c r="B112" i="6" s="1"/>
  <c r="D100" i="6"/>
  <c r="I172" i="6"/>
  <c r="J89" i="6"/>
  <c r="J107" i="6" s="1"/>
  <c r="D98" i="6"/>
  <c r="E95" i="6"/>
  <c r="D90" i="6"/>
  <c r="H95" i="6"/>
  <c r="G98" i="6"/>
  <c r="J95" i="6"/>
  <c r="I98" i="6"/>
  <c r="C100" i="6"/>
  <c r="H101" i="6"/>
  <c r="G101" i="6"/>
  <c r="E101" i="6"/>
  <c r="F91" i="6"/>
  <c r="J93" i="6"/>
  <c r="J111" i="6" s="1"/>
  <c r="E93" i="6"/>
  <c r="B96" i="6" l="1"/>
  <c r="B114" i="6" s="1"/>
  <c r="B91" i="6"/>
  <c r="E89" i="6"/>
  <c r="I90" i="6"/>
  <c r="F97" i="6"/>
  <c r="G99" i="6"/>
  <c r="C94" i="6"/>
  <c r="C112" i="6" s="1"/>
  <c r="F93" i="6"/>
  <c r="G100" i="6"/>
  <c r="D91" i="6"/>
  <c r="I102" i="6"/>
  <c r="H99" i="6"/>
  <c r="H93" i="6"/>
  <c r="F101" i="6"/>
  <c r="G90" i="6"/>
  <c r="G108" i="6" s="1"/>
  <c r="C102" i="6"/>
  <c r="C97" i="6"/>
  <c r="E98" i="6"/>
  <c r="C99" i="6"/>
  <c r="I94" i="6"/>
  <c r="I112" i="6" s="1"/>
  <c r="J102" i="6"/>
  <c r="B90" i="6"/>
  <c r="H92" i="6"/>
  <c r="D102" i="6"/>
  <c r="D94" i="6"/>
  <c r="D112" i="6" s="1"/>
  <c r="G89" i="6"/>
  <c r="I101" i="6"/>
  <c r="C95" i="6"/>
  <c r="I99" i="6"/>
  <c r="G91" i="6"/>
  <c r="G92" i="6"/>
  <c r="C98" i="6"/>
  <c r="G95" i="6"/>
  <c r="G96" i="6"/>
  <c r="G114" i="6" s="1"/>
  <c r="G94" i="6"/>
  <c r="G112" i="6" s="1"/>
  <c r="C92" i="6"/>
  <c r="F99" i="6"/>
  <c r="B95" i="6"/>
  <c r="J99" i="6"/>
  <c r="C96" i="6"/>
  <c r="C114" i="6" s="1"/>
  <c r="E90" i="6"/>
  <c r="B93" i="6"/>
  <c r="B111" i="6" s="1"/>
  <c r="G102" i="6"/>
  <c r="G120" i="6" s="1"/>
  <c r="G165" i="6" s="1"/>
  <c r="H97" i="6"/>
  <c r="H115" i="6" s="1"/>
  <c r="H102" i="6"/>
  <c r="C91" i="6"/>
  <c r="C109" i="6" s="1"/>
  <c r="B136" i="18"/>
  <c r="B159" i="18" s="1"/>
  <c r="B215" i="18" s="1"/>
  <c r="G143" i="18"/>
  <c r="G166" i="18" s="1"/>
  <c r="G222" i="18" s="1"/>
  <c r="C136" i="18"/>
  <c r="C159" i="18" s="1"/>
  <c r="C215" i="18" s="1"/>
  <c r="G136" i="18"/>
  <c r="G159" i="18" s="1"/>
  <c r="G215" i="18" s="1"/>
  <c r="B137" i="18"/>
  <c r="B160" i="18" s="1"/>
  <c r="B216" i="18" s="1"/>
  <c r="B244" i="18" s="1"/>
  <c r="C244" i="18" s="1"/>
  <c r="F137" i="18"/>
  <c r="F160" i="18" s="1"/>
  <c r="F216" i="18" s="1"/>
  <c r="E138" i="18"/>
  <c r="E161" i="18" s="1"/>
  <c r="E217" i="18" s="1"/>
  <c r="B141" i="18"/>
  <c r="B164" i="18" s="1"/>
  <c r="B220" i="18" s="1"/>
  <c r="B248" i="18" s="1"/>
  <c r="C248" i="18" s="1"/>
  <c r="F141" i="18"/>
  <c r="F164" i="18" s="1"/>
  <c r="F220" i="18" s="1"/>
  <c r="H143" i="18"/>
  <c r="H166" i="18" s="1"/>
  <c r="H222" i="18" s="1"/>
  <c r="I136" i="18"/>
  <c r="I159" i="18" s="1"/>
  <c r="I215" i="18" s="1"/>
  <c r="E140" i="18"/>
  <c r="E163" i="18" s="1"/>
  <c r="E219" i="18" s="1"/>
  <c r="D141" i="18"/>
  <c r="D164" i="18" s="1"/>
  <c r="D220" i="18" s="1"/>
  <c r="C142" i="18"/>
  <c r="C165" i="18" s="1"/>
  <c r="C221" i="18" s="1"/>
  <c r="B143" i="18"/>
  <c r="B166" i="18" s="1"/>
  <c r="B222" i="18" s="1"/>
  <c r="B250" i="18" s="1"/>
  <c r="C250" i="18" s="1"/>
  <c r="J143" i="18"/>
  <c r="J166" i="18" s="1"/>
  <c r="J222" i="18" s="1"/>
  <c r="F147" i="18"/>
  <c r="F170" i="18" s="1"/>
  <c r="F226" i="18" s="1"/>
  <c r="C150" i="18"/>
  <c r="C173" i="18" s="1"/>
  <c r="C229" i="18" s="1"/>
  <c r="B151" i="18"/>
  <c r="B174" i="18" s="1"/>
  <c r="B230" i="18" s="1"/>
  <c r="B258" i="18" s="1"/>
  <c r="C258" i="18" s="1"/>
  <c r="E136" i="18"/>
  <c r="E159" i="18" s="1"/>
  <c r="E215" i="18" s="1"/>
  <c r="C138" i="18"/>
  <c r="C161" i="18" s="1"/>
  <c r="C217" i="18" s="1"/>
  <c r="F143" i="18"/>
  <c r="F166" i="18" s="1"/>
  <c r="F222" i="18" s="1"/>
  <c r="B147" i="18"/>
  <c r="C154" i="18"/>
  <c r="C177" i="18" s="1"/>
  <c r="C233" i="18" s="1"/>
  <c r="H136" i="18"/>
  <c r="H159" i="18" s="1"/>
  <c r="H215" i="18" s="1"/>
  <c r="F138" i="18"/>
  <c r="F161" i="18" s="1"/>
  <c r="F217" i="18" s="1"/>
  <c r="B142" i="18"/>
  <c r="B165" i="18" s="1"/>
  <c r="B221" i="18" s="1"/>
  <c r="B249" i="18" s="1"/>
  <c r="C249" i="18" s="1"/>
  <c r="I143" i="18"/>
  <c r="I166" i="18" s="1"/>
  <c r="I222" i="18" s="1"/>
  <c r="F146" i="18"/>
  <c r="F169" i="18" s="1"/>
  <c r="F225" i="18" s="1"/>
  <c r="F154" i="18"/>
  <c r="F177" i="18" s="1"/>
  <c r="F233" i="18" s="1"/>
  <c r="I268" i="18"/>
  <c r="D136" i="18"/>
  <c r="C137" i="18"/>
  <c r="C160" i="18" s="1"/>
  <c r="C216" i="18" s="1"/>
  <c r="B138" i="18"/>
  <c r="B161" i="18" s="1"/>
  <c r="B217" i="18" s="1"/>
  <c r="B245" i="18" s="1"/>
  <c r="C245" i="18" s="1"/>
  <c r="F142" i="18"/>
  <c r="F165" i="18" s="1"/>
  <c r="F221" i="18" s="1"/>
  <c r="E143" i="18"/>
  <c r="E166" i="18" s="1"/>
  <c r="E222" i="18" s="1"/>
  <c r="B146" i="18"/>
  <c r="F150" i="18"/>
  <c r="F173" i="18" s="1"/>
  <c r="F229" i="18" s="1"/>
  <c r="E151" i="18"/>
  <c r="E174" i="18" s="1"/>
  <c r="E230" i="18" s="1"/>
  <c r="B154" i="18"/>
  <c r="B177" i="18" s="1"/>
  <c r="B233" i="18" s="1"/>
  <c r="D137" i="18"/>
  <c r="D160" i="18" s="1"/>
  <c r="D216" i="18" s="1"/>
  <c r="B139" i="18"/>
  <c r="B162" i="18" s="1"/>
  <c r="B218" i="18" s="1"/>
  <c r="B246" i="18" s="1"/>
  <c r="C246" i="18" s="1"/>
  <c r="C146" i="18"/>
  <c r="C169" i="18" s="1"/>
  <c r="C225" i="18" s="1"/>
  <c r="F151" i="18"/>
  <c r="F174" i="18" s="1"/>
  <c r="F230" i="18" s="1"/>
  <c r="C141" i="18"/>
  <c r="C164" i="18" s="1"/>
  <c r="C220" i="18" s="1"/>
  <c r="B150" i="18"/>
  <c r="B173" i="18" s="1"/>
  <c r="B229" i="18" s="1"/>
  <c r="B257" i="18" s="1"/>
  <c r="C257" i="18" s="1"/>
  <c r="I240" i="18"/>
  <c r="F145" i="18"/>
  <c r="F168" i="18" s="1"/>
  <c r="F224" i="18" s="1"/>
  <c r="E149" i="18"/>
  <c r="E172" i="18" s="1"/>
  <c r="E228" i="18" s="1"/>
  <c r="D142" i="18"/>
  <c r="D165" i="18" s="1"/>
  <c r="D221" i="18" s="1"/>
  <c r="D147" i="18"/>
  <c r="D170" i="18" s="1"/>
  <c r="D226" i="18" s="1"/>
  <c r="E141" i="18"/>
  <c r="E164" i="18" s="1"/>
  <c r="E220" i="18" s="1"/>
  <c r="D151" i="18"/>
  <c r="D174" i="18" s="1"/>
  <c r="D230" i="18" s="1"/>
  <c r="C147" i="18"/>
  <c r="C170" i="18" s="1"/>
  <c r="C226" i="18" s="1"/>
  <c r="B144" i="18"/>
  <c r="B167" i="18" s="1"/>
  <c r="B223" i="18" s="1"/>
  <c r="B251" i="18" s="1"/>
  <c r="C251" i="18" s="1"/>
  <c r="B140" i="18"/>
  <c r="B163" i="18" s="1"/>
  <c r="B219" i="18" s="1"/>
  <c r="B247" i="18" s="1"/>
  <c r="C247" i="18" s="1"/>
  <c r="B153" i="18"/>
  <c r="B176" i="18" s="1"/>
  <c r="B232" i="18" s="1"/>
  <c r="B260" i="18" s="1"/>
  <c r="C260" i="18" s="1"/>
  <c r="E137" i="18"/>
  <c r="E160" i="18" s="1"/>
  <c r="E216" i="18" s="1"/>
  <c r="C143" i="18"/>
  <c r="C166" i="18" s="1"/>
  <c r="C222" i="18" s="1"/>
  <c r="C151" i="18"/>
  <c r="C174" i="18" s="1"/>
  <c r="C230" i="18" s="1"/>
  <c r="B152" i="18"/>
  <c r="B175" i="18" s="1"/>
  <c r="B231" i="18" s="1"/>
  <c r="B259" i="18" s="1"/>
  <c r="C259" i="18" s="1"/>
  <c r="B148" i="18"/>
  <c r="B145" i="18"/>
  <c r="F144" i="18"/>
  <c r="F167" i="18" s="1"/>
  <c r="F223" i="18" s="1"/>
  <c r="F139" i="18"/>
  <c r="F162" i="18" s="1"/>
  <c r="F218" i="18" s="1"/>
  <c r="F148" i="18"/>
  <c r="F171" i="18" s="1"/>
  <c r="F227" i="18" s="1"/>
  <c r="F140" i="18"/>
  <c r="F163" i="18" s="1"/>
  <c r="F219" i="18" s="1"/>
  <c r="E146" i="18"/>
  <c r="E169" i="18" s="1"/>
  <c r="E225" i="18" s="1"/>
  <c r="E153" i="18"/>
  <c r="E176" i="18" s="1"/>
  <c r="E232" i="18" s="1"/>
  <c r="D150" i="18"/>
  <c r="D173" i="18" s="1"/>
  <c r="D229" i="18" s="1"/>
  <c r="C139" i="18"/>
  <c r="C162" i="18" s="1"/>
  <c r="C218" i="18" s="1"/>
  <c r="E154" i="18"/>
  <c r="E177" i="18" s="1"/>
  <c r="E233" i="18" s="1"/>
  <c r="E150" i="18"/>
  <c r="E173" i="18" s="1"/>
  <c r="E229" i="18" s="1"/>
  <c r="D146" i="18"/>
  <c r="D169" i="18" s="1"/>
  <c r="D225" i="18" s="1"/>
  <c r="F152" i="18"/>
  <c r="F175" i="18" s="1"/>
  <c r="F231" i="18" s="1"/>
  <c r="D154" i="18"/>
  <c r="D177" i="18" s="1"/>
  <c r="D233" i="18" s="1"/>
  <c r="D138" i="18"/>
  <c r="D161" i="18" s="1"/>
  <c r="D217" i="18" s="1"/>
  <c r="C144" i="18"/>
  <c r="C167" i="18" s="1"/>
  <c r="C223" i="18" s="1"/>
  <c r="B149" i="18"/>
  <c r="F136" i="18"/>
  <c r="D143" i="18"/>
  <c r="D166" i="18" s="1"/>
  <c r="D222" i="18" s="1"/>
  <c r="I145" i="18"/>
  <c r="I168" i="18" s="1"/>
  <c r="I224" i="18" s="1"/>
  <c r="G140" i="18"/>
  <c r="G163" i="18" s="1"/>
  <c r="G219" i="18" s="1"/>
  <c r="I138" i="18"/>
  <c r="I161" i="18" s="1"/>
  <c r="I217" i="18" s="1"/>
  <c r="I141" i="18"/>
  <c r="I164" i="18" s="1"/>
  <c r="I220" i="18" s="1"/>
  <c r="D148" i="18"/>
  <c r="D171" i="18" s="1"/>
  <c r="D227" i="18" s="1"/>
  <c r="J151" i="18"/>
  <c r="J174" i="18" s="1"/>
  <c r="J230" i="18" s="1"/>
  <c r="B286" i="18" s="1"/>
  <c r="C286" i="18" s="1"/>
  <c r="H141" i="18"/>
  <c r="H164" i="18" s="1"/>
  <c r="H220" i="18" s="1"/>
  <c r="C148" i="18"/>
  <c r="C171" i="18" s="1"/>
  <c r="C227" i="18" s="1"/>
  <c r="G142" i="18"/>
  <c r="G165" i="18" s="1"/>
  <c r="G221" i="18" s="1"/>
  <c r="G149" i="18"/>
  <c r="G172" i="18" s="1"/>
  <c r="G228" i="18" s="1"/>
  <c r="D153" i="18"/>
  <c r="D176" i="18" s="1"/>
  <c r="D232" i="18" s="1"/>
  <c r="D140" i="18"/>
  <c r="D163" i="18" s="1"/>
  <c r="D219" i="18" s="1"/>
  <c r="I154" i="18"/>
  <c r="I177" i="18" s="1"/>
  <c r="I233" i="18" s="1"/>
  <c r="G137" i="18"/>
  <c r="G160" i="18" s="1"/>
  <c r="G216" i="18" s="1"/>
  <c r="H148" i="18"/>
  <c r="H171" i="18" s="1"/>
  <c r="H227" i="18" s="1"/>
  <c r="G144" i="18"/>
  <c r="G167" i="18" s="1"/>
  <c r="G223" i="18" s="1"/>
  <c r="J154" i="18"/>
  <c r="J177" i="18" s="1"/>
  <c r="J233" i="18" s="1"/>
  <c r="J152" i="18"/>
  <c r="J175" i="18" s="1"/>
  <c r="J231" i="18" s="1"/>
  <c r="B287" i="18" s="1"/>
  <c r="C287" i="18" s="1"/>
  <c r="J140" i="18"/>
  <c r="J163" i="18" s="1"/>
  <c r="J219" i="18" s="1"/>
  <c r="B275" i="18" s="1"/>
  <c r="C275" i="18" s="1"/>
  <c r="E142" i="18"/>
  <c r="E165" i="18" s="1"/>
  <c r="E221" i="18" s="1"/>
  <c r="I149" i="18"/>
  <c r="I172" i="18" s="1"/>
  <c r="I228" i="18" s="1"/>
  <c r="E152" i="18"/>
  <c r="E175" i="18" s="1"/>
  <c r="E231" i="18" s="1"/>
  <c r="G153" i="18"/>
  <c r="G176" i="18" s="1"/>
  <c r="G232" i="18" s="1"/>
  <c r="G151" i="18"/>
  <c r="G174" i="18" s="1"/>
  <c r="G230" i="18" s="1"/>
  <c r="H154" i="18"/>
  <c r="H177" i="18" s="1"/>
  <c r="H233" i="18" s="1"/>
  <c r="H137" i="18"/>
  <c r="H160" i="18" s="1"/>
  <c r="H216" i="18" s="1"/>
  <c r="D145" i="18"/>
  <c r="D168" i="18" s="1"/>
  <c r="D224" i="18" s="1"/>
  <c r="J142" i="18"/>
  <c r="J165" i="18" s="1"/>
  <c r="J221" i="18" s="1"/>
  <c r="J149" i="18"/>
  <c r="D144" i="18"/>
  <c r="D167" i="18" s="1"/>
  <c r="D223" i="18" s="1"/>
  <c r="G154" i="18"/>
  <c r="G177" i="18" s="1"/>
  <c r="G233" i="18" s="1"/>
  <c r="C149" i="18"/>
  <c r="C172" i="18" s="1"/>
  <c r="C228" i="18" s="1"/>
  <c r="G145" i="18"/>
  <c r="G168" i="18" s="1"/>
  <c r="G224" i="18" s="1"/>
  <c r="I144" i="18"/>
  <c r="I167" i="18" s="1"/>
  <c r="I223" i="18" s="1"/>
  <c r="H151" i="18"/>
  <c r="H174" i="18" s="1"/>
  <c r="H230" i="18" s="1"/>
  <c r="J150" i="18"/>
  <c r="J173" i="18" s="1"/>
  <c r="J229" i="18" s="1"/>
  <c r="H149" i="18"/>
  <c r="H172" i="18" s="1"/>
  <c r="H228" i="18" s="1"/>
  <c r="H145" i="18"/>
  <c r="H168" i="18" s="1"/>
  <c r="H224" i="18" s="1"/>
  <c r="I140" i="18"/>
  <c r="I163" i="18" s="1"/>
  <c r="I219" i="18" s="1"/>
  <c r="I146" i="18"/>
  <c r="I169" i="18" s="1"/>
  <c r="I225" i="18" s="1"/>
  <c r="J145" i="18"/>
  <c r="J168" i="18" s="1"/>
  <c r="J224" i="18" s="1"/>
  <c r="I147" i="18"/>
  <c r="I170" i="18" s="1"/>
  <c r="I226" i="18" s="1"/>
  <c r="J136" i="18"/>
  <c r="J159" i="18" s="1"/>
  <c r="J215" i="18" s="1"/>
  <c r="I139" i="18"/>
  <c r="I162" i="18" s="1"/>
  <c r="I218" i="18" s="1"/>
  <c r="J148" i="18"/>
  <c r="J171" i="18" s="1"/>
  <c r="J227" i="18" s="1"/>
  <c r="C153" i="18"/>
  <c r="C176" i="18" s="1"/>
  <c r="C232" i="18" s="1"/>
  <c r="H147" i="18"/>
  <c r="H170" i="18" s="1"/>
  <c r="H226" i="18" s="1"/>
  <c r="H150" i="18"/>
  <c r="H173" i="18" s="1"/>
  <c r="H229" i="18" s="1"/>
  <c r="D149" i="18"/>
  <c r="D172" i="18" s="1"/>
  <c r="D228" i="18" s="1"/>
  <c r="F149" i="18"/>
  <c r="F172" i="18" s="1"/>
  <c r="F228" i="18" s="1"/>
  <c r="I150" i="18"/>
  <c r="I173" i="18" s="1"/>
  <c r="I229" i="18" s="1"/>
  <c r="G148" i="18"/>
  <c r="G171" i="18" s="1"/>
  <c r="G227" i="18" s="1"/>
  <c r="C140" i="18"/>
  <c r="C163" i="18" s="1"/>
  <c r="C219" i="18" s="1"/>
  <c r="G146" i="18"/>
  <c r="G169" i="18" s="1"/>
  <c r="G225" i="18" s="1"/>
  <c r="H139" i="18"/>
  <c r="H162" i="18" s="1"/>
  <c r="H218" i="18" s="1"/>
  <c r="C145" i="18"/>
  <c r="C168" i="18" s="1"/>
  <c r="C224" i="18" s="1"/>
  <c r="E144" i="18"/>
  <c r="E167" i="18" s="1"/>
  <c r="E223" i="18" s="1"/>
  <c r="G147" i="18"/>
  <c r="G170" i="18" s="1"/>
  <c r="G226" i="18" s="1"/>
  <c r="J146" i="18"/>
  <c r="J169" i="18" s="1"/>
  <c r="J225" i="18" s="1"/>
  <c r="G139" i="18"/>
  <c r="G162" i="18" s="1"/>
  <c r="G218" i="18" s="1"/>
  <c r="J153" i="18"/>
  <c r="J176" i="18" s="1"/>
  <c r="J232" i="18" s="1"/>
  <c r="J147" i="18"/>
  <c r="J170" i="18" s="1"/>
  <c r="J226" i="18" s="1"/>
  <c r="I137" i="18"/>
  <c r="I160" i="18" s="1"/>
  <c r="I216" i="18" s="1"/>
  <c r="C152" i="18"/>
  <c r="C175" i="18" s="1"/>
  <c r="C231" i="18" s="1"/>
  <c r="G138" i="18"/>
  <c r="G161" i="18" s="1"/>
  <c r="G217" i="18" s="1"/>
  <c r="J137" i="18"/>
  <c r="J160" i="18" s="1"/>
  <c r="J216" i="18" s="1"/>
  <c r="B272" i="18" s="1"/>
  <c r="C272" i="18" s="1"/>
  <c r="E139" i="18"/>
  <c r="E162" i="18" s="1"/>
  <c r="E218" i="18" s="1"/>
  <c r="E148" i="18"/>
  <c r="E171" i="18" s="1"/>
  <c r="E227" i="18" s="1"/>
  <c r="J144" i="18"/>
  <c r="J167" i="18" s="1"/>
  <c r="J223" i="18" s="1"/>
  <c r="H142" i="18"/>
  <c r="H165" i="18" s="1"/>
  <c r="H221" i="18" s="1"/>
  <c r="H146" i="18"/>
  <c r="H169" i="18" s="1"/>
  <c r="H225" i="18" s="1"/>
  <c r="H152" i="18"/>
  <c r="H175" i="18" s="1"/>
  <c r="H231" i="18" s="1"/>
  <c r="E145" i="18"/>
  <c r="E168" i="18" s="1"/>
  <c r="E224" i="18" s="1"/>
  <c r="E147" i="18"/>
  <c r="E170" i="18" s="1"/>
  <c r="E226" i="18" s="1"/>
  <c r="I153" i="18"/>
  <c r="I176" i="18" s="1"/>
  <c r="I232" i="18" s="1"/>
  <c r="I151" i="18"/>
  <c r="I174" i="18" s="1"/>
  <c r="I230" i="18" s="1"/>
  <c r="G141" i="18"/>
  <c r="G164" i="18" s="1"/>
  <c r="G220" i="18" s="1"/>
  <c r="G152" i="18"/>
  <c r="G175" i="18" s="1"/>
  <c r="G231" i="18" s="1"/>
  <c r="H153" i="18"/>
  <c r="H176" i="18" s="1"/>
  <c r="H232" i="18" s="1"/>
  <c r="H140" i="18"/>
  <c r="H163" i="18" s="1"/>
  <c r="H219" i="18" s="1"/>
  <c r="I142" i="18"/>
  <c r="I165" i="18" s="1"/>
  <c r="I221" i="18" s="1"/>
  <c r="J141" i="18"/>
  <c r="J164" i="18" s="1"/>
  <c r="J220" i="18" s="1"/>
  <c r="D152" i="18"/>
  <c r="D175" i="18" s="1"/>
  <c r="D231" i="18" s="1"/>
  <c r="F153" i="18"/>
  <c r="F176" i="18" s="1"/>
  <c r="F232" i="18" s="1"/>
  <c r="H138" i="18"/>
  <c r="H161" i="18" s="1"/>
  <c r="H217" i="18" s="1"/>
  <c r="D139" i="18"/>
  <c r="D162" i="18" s="1"/>
  <c r="D218" i="18" s="1"/>
  <c r="H144" i="18"/>
  <c r="H167" i="18" s="1"/>
  <c r="H223" i="18" s="1"/>
  <c r="G150" i="18"/>
  <c r="G173" i="18" s="1"/>
  <c r="G229" i="18" s="1"/>
  <c r="J138" i="18"/>
  <c r="J161" i="18" s="1"/>
  <c r="J217" i="18" s="1"/>
  <c r="B273" i="18" s="1"/>
  <c r="C273" i="18" s="1"/>
  <c r="I152" i="18"/>
  <c r="I175" i="18" s="1"/>
  <c r="I231" i="18" s="1"/>
  <c r="I148" i="18"/>
  <c r="I171" i="18" s="1"/>
  <c r="I227" i="18" s="1"/>
  <c r="J139" i="18"/>
  <c r="J162" i="18" s="1"/>
  <c r="J218" i="18" s="1"/>
  <c r="F109" i="6"/>
  <c r="I116" i="6"/>
  <c r="F120" i="6"/>
  <c r="F165" i="6" s="1"/>
  <c r="J118" i="6"/>
  <c r="F159" i="6"/>
  <c r="J159" i="6"/>
  <c r="I107" i="6"/>
  <c r="I108" i="6"/>
  <c r="C111" i="6"/>
  <c r="C116" i="6"/>
  <c r="E120" i="6"/>
  <c r="E165" i="6" s="1"/>
  <c r="C110" i="6"/>
  <c r="D117" i="6"/>
  <c r="C159" i="6"/>
  <c r="E108" i="6"/>
  <c r="H120" i="6"/>
  <c r="H165" i="6" s="1"/>
  <c r="E111" i="6"/>
  <c r="E119" i="6"/>
  <c r="E164" i="6" s="1"/>
  <c r="J113" i="6"/>
  <c r="E113" i="6"/>
  <c r="B118" i="6"/>
  <c r="F157" i="6"/>
  <c r="B159" i="6"/>
  <c r="B182" i="6" s="1"/>
  <c r="C182" i="6"/>
  <c r="B109" i="6"/>
  <c r="E107" i="6"/>
  <c r="I111" i="6"/>
  <c r="I119" i="6"/>
  <c r="I164" i="6" s="1"/>
  <c r="I113" i="6"/>
  <c r="G117" i="6"/>
  <c r="I115" i="6"/>
  <c r="H116" i="6"/>
  <c r="F111" i="6"/>
  <c r="I159" i="6"/>
  <c r="I120" i="6"/>
  <c r="I165" i="6" s="1"/>
  <c r="H117" i="6"/>
  <c r="G111" i="6"/>
  <c r="D107" i="6"/>
  <c r="E157" i="6"/>
  <c r="J115" i="6"/>
  <c r="E110" i="6"/>
  <c r="H108" i="6"/>
  <c r="E117" i="6"/>
  <c r="G115" i="6"/>
  <c r="H119" i="6"/>
  <c r="H164" i="6" s="1"/>
  <c r="G116" i="6"/>
  <c r="D118" i="6"/>
  <c r="J116" i="6"/>
  <c r="H107" i="6"/>
  <c r="H159" i="6"/>
  <c r="J120" i="6"/>
  <c r="J165" i="6" s="1"/>
  <c r="B108" i="6"/>
  <c r="B153" i="6" s="1"/>
  <c r="B176" i="6" s="1"/>
  <c r="H110" i="6"/>
  <c r="D120" i="6"/>
  <c r="D165" i="6" s="1"/>
  <c r="D157" i="6"/>
  <c r="G107" i="6"/>
  <c r="C154" i="6"/>
  <c r="D111" i="6"/>
  <c r="F115" i="6"/>
  <c r="I117" i="6"/>
  <c r="B115" i="6"/>
  <c r="D119" i="6"/>
  <c r="D164" i="6" s="1"/>
  <c r="D115" i="6"/>
  <c r="G159" i="6"/>
  <c r="G157" i="6"/>
  <c r="H111" i="6"/>
  <c r="F117" i="6"/>
  <c r="B113" i="6"/>
  <c r="C120" i="6"/>
  <c r="C165" i="6" s="1"/>
  <c r="I109" i="6"/>
  <c r="I118" i="6"/>
  <c r="H160" i="6"/>
  <c r="D108" i="6"/>
  <c r="H109" i="6"/>
  <c r="D110" i="6"/>
  <c r="D159" i="6"/>
  <c r="F107" i="6"/>
  <c r="J109" i="6"/>
  <c r="J119" i="6"/>
  <c r="J164" i="6" s="1"/>
  <c r="G109" i="6"/>
  <c r="C108" i="6"/>
  <c r="G113" i="6"/>
  <c r="E109" i="6"/>
  <c r="F119" i="6"/>
  <c r="F164" i="6" s="1"/>
  <c r="F113" i="6"/>
  <c r="B117" i="6"/>
  <c r="J108" i="6"/>
  <c r="F116" i="6"/>
  <c r="B110" i="6"/>
  <c r="G119" i="6"/>
  <c r="G164" i="6" s="1"/>
  <c r="C118" i="6"/>
  <c r="H113" i="6"/>
  <c r="D116" i="6"/>
  <c r="B157" i="6"/>
  <c r="B180" i="6" s="1"/>
  <c r="C180" i="6"/>
  <c r="J110" i="6"/>
  <c r="B120" i="6"/>
  <c r="J157" i="6"/>
  <c r="B203" i="6" s="1"/>
  <c r="C203" i="6" s="1"/>
  <c r="H118" i="6"/>
  <c r="B116" i="6"/>
  <c r="F108" i="6"/>
  <c r="F118" i="6"/>
  <c r="F110" i="6"/>
  <c r="B119" i="6"/>
  <c r="C113" i="6"/>
  <c r="C158" i="6" s="1"/>
  <c r="E118" i="6"/>
  <c r="C157" i="6"/>
  <c r="G110" i="6"/>
  <c r="G118" i="6"/>
  <c r="D109" i="6"/>
  <c r="D113" i="6"/>
  <c r="I110" i="6"/>
  <c r="H157" i="6"/>
  <c r="C119" i="6"/>
  <c r="C164" i="6" s="1"/>
  <c r="E159" i="6"/>
  <c r="J117" i="6"/>
  <c r="C115" i="6"/>
  <c r="E116" i="6"/>
  <c r="C117" i="6"/>
  <c r="E115" i="6"/>
  <c r="I157" i="6"/>
  <c r="C179" i="6"/>
  <c r="B156" i="6"/>
  <c r="B179" i="6" s="1"/>
  <c r="B243" i="18" l="1"/>
  <c r="C243" i="18" s="1"/>
  <c r="B261" i="18"/>
  <c r="C261" i="18" s="1"/>
  <c r="B168" i="18"/>
  <c r="B224" i="18" s="1"/>
  <c r="B170" i="18"/>
  <c r="B226" i="18" s="1"/>
  <c r="B254" i="18" s="1"/>
  <c r="C254" i="18" s="1"/>
  <c r="B171" i="18"/>
  <c r="B227" i="18" s="1"/>
  <c r="B255" i="18" s="1"/>
  <c r="C255" i="18" s="1"/>
  <c r="B172" i="18"/>
  <c r="B228" i="18" s="1"/>
  <c r="B256" i="18" s="1"/>
  <c r="C256" i="18" s="1"/>
  <c r="B169" i="18"/>
  <c r="B225" i="18" s="1"/>
  <c r="B253" i="18" s="1"/>
  <c r="C253" i="18" s="1"/>
  <c r="B285" i="18"/>
  <c r="C285" i="18" s="1"/>
  <c r="B271" i="18"/>
  <c r="C271" i="18" s="1"/>
  <c r="B278" i="18"/>
  <c r="C278" i="18" s="1"/>
  <c r="B274" i="18"/>
  <c r="C274" i="18" s="1"/>
  <c r="D159" i="18"/>
  <c r="D215" i="18" s="1"/>
  <c r="B279" i="18"/>
  <c r="C279" i="18" s="1"/>
  <c r="B288" i="18"/>
  <c r="C288" i="18" s="1"/>
  <c r="J172" i="18"/>
  <c r="J228" i="18" s="1"/>
  <c r="B289" i="18"/>
  <c r="C289" i="18" s="1"/>
  <c r="F159" i="18"/>
  <c r="F215" i="18" s="1"/>
  <c r="B276" i="18"/>
  <c r="C276" i="18" s="1"/>
  <c r="B277" i="18"/>
  <c r="C277" i="18" s="1"/>
  <c r="B161" i="6"/>
  <c r="B184" i="6" s="1"/>
  <c r="C184" i="6" s="1"/>
  <c r="J155" i="6"/>
  <c r="E154" i="6"/>
  <c r="D155" i="6"/>
  <c r="E163" i="6"/>
  <c r="F155" i="6"/>
  <c r="F153" i="6"/>
  <c r="H163" i="6"/>
  <c r="B165" i="6"/>
  <c r="B188" i="6" s="1"/>
  <c r="C188" i="6" s="1"/>
  <c r="C163" i="6"/>
  <c r="G158" i="6"/>
  <c r="G154" i="6"/>
  <c r="H154" i="6"/>
  <c r="D153" i="6"/>
  <c r="B160" i="6"/>
  <c r="B183" i="6" s="1"/>
  <c r="C183" i="6" s="1"/>
  <c r="H152" i="6"/>
  <c r="G160" i="6"/>
  <c r="H153" i="6"/>
  <c r="J160" i="6"/>
  <c r="G153" i="6"/>
  <c r="F156" i="6"/>
  <c r="I160" i="6"/>
  <c r="I158" i="6"/>
  <c r="I156" i="6"/>
  <c r="B154" i="6"/>
  <c r="B177" i="6" s="1"/>
  <c r="C177" i="6" s="1"/>
  <c r="B205" i="6"/>
  <c r="C205" i="6" s="1"/>
  <c r="J163" i="6"/>
  <c r="I161" i="6"/>
  <c r="E160" i="6"/>
  <c r="E161" i="6"/>
  <c r="J162" i="6"/>
  <c r="I155" i="6"/>
  <c r="D154" i="6"/>
  <c r="G155" i="6"/>
  <c r="B164" i="6"/>
  <c r="F158" i="6"/>
  <c r="I154" i="6"/>
  <c r="B158" i="6"/>
  <c r="B181" i="6" s="1"/>
  <c r="C181" i="6"/>
  <c r="H156" i="6"/>
  <c r="D156" i="6"/>
  <c r="G152" i="6"/>
  <c r="J161" i="6"/>
  <c r="B207" i="6" s="1"/>
  <c r="C207" i="6" s="1"/>
  <c r="G162" i="6"/>
  <c r="E158" i="6"/>
  <c r="C155" i="6"/>
  <c r="C161" i="6"/>
  <c r="I153" i="6"/>
  <c r="H158" i="6"/>
  <c r="J153" i="6"/>
  <c r="C153" i="6"/>
  <c r="F152" i="6"/>
  <c r="J152" i="6"/>
  <c r="B198" i="6" s="1"/>
  <c r="I162" i="6"/>
  <c r="C176" i="6"/>
  <c r="G161" i="6"/>
  <c r="J156" i="6"/>
  <c r="B202" i="6" s="1"/>
  <c r="C202" i="6" s="1"/>
  <c r="E162" i="6"/>
  <c r="E155" i="6"/>
  <c r="D152" i="6"/>
  <c r="H162" i="6"/>
  <c r="H161" i="6"/>
  <c r="E152" i="6"/>
  <c r="B163" i="6"/>
  <c r="B186" i="6" s="1"/>
  <c r="C186" i="6"/>
  <c r="J158" i="6"/>
  <c r="B204" i="6" s="1"/>
  <c r="C204" i="6" s="1"/>
  <c r="I152" i="6"/>
  <c r="C162" i="6"/>
  <c r="C160" i="6"/>
  <c r="D158" i="6"/>
  <c r="G163" i="6"/>
  <c r="C152" i="6"/>
  <c r="F163" i="6"/>
  <c r="D161" i="6"/>
  <c r="B155" i="6"/>
  <c r="B178" i="6" s="1"/>
  <c r="C178" i="6" s="1"/>
  <c r="F161" i="6"/>
  <c r="B162" i="6"/>
  <c r="B185" i="6" s="1"/>
  <c r="C185" i="6"/>
  <c r="J154" i="6"/>
  <c r="I163" i="6"/>
  <c r="F162" i="6"/>
  <c r="D160" i="6"/>
  <c r="F160" i="6"/>
  <c r="H155" i="6"/>
  <c r="B211" i="6"/>
  <c r="C211" i="6" s="1"/>
  <c r="D163" i="6"/>
  <c r="G156" i="6"/>
  <c r="E156" i="6"/>
  <c r="E153" i="6"/>
  <c r="D162" i="6"/>
  <c r="C156" i="6"/>
  <c r="F154" i="6"/>
  <c r="B210" i="6" l="1"/>
  <c r="C210" i="6" s="1"/>
  <c r="B187" i="6"/>
  <c r="C187" i="6" s="1"/>
  <c r="B208" i="6"/>
  <c r="C208" i="6" s="1"/>
  <c r="B206" i="6"/>
  <c r="C206" i="6" s="1"/>
  <c r="B252" i="18"/>
  <c r="C252" i="18" s="1"/>
  <c r="B280" i="18"/>
  <c r="C280" i="18" s="1"/>
  <c r="B284" i="18"/>
  <c r="C284" i="18" s="1"/>
  <c r="B283" i="18"/>
  <c r="C283" i="18" s="1"/>
  <c r="B281" i="18"/>
  <c r="C281" i="18" s="1"/>
  <c r="B282" i="18"/>
  <c r="C282" i="18" s="1"/>
  <c r="B200" i="6"/>
  <c r="C200" i="6" s="1"/>
  <c r="B201" i="6"/>
  <c r="C201" i="6" s="1"/>
  <c r="B209" i="6"/>
  <c r="C209" i="6" s="1"/>
  <c r="C198" i="6"/>
  <c r="B199" i="6"/>
  <c r="C199" i="6" s="1"/>
  <c r="B46" i="18" l="1"/>
  <c r="C46" i="18" s="1"/>
  <c r="E37" i="18" l="1"/>
</calcChain>
</file>

<file path=xl/sharedStrings.xml><?xml version="1.0" encoding="utf-8"?>
<sst xmlns="http://schemas.openxmlformats.org/spreadsheetml/2006/main" count="447" uniqueCount="161">
  <si>
    <t>5 km</t>
  </si>
  <si>
    <t>10 km</t>
  </si>
  <si>
    <t>15 km</t>
  </si>
  <si>
    <t>20 km</t>
  </si>
  <si>
    <t>25 km</t>
  </si>
  <si>
    <t>30 km</t>
  </si>
  <si>
    <t>40 km</t>
  </si>
  <si>
    <t>50 km</t>
  </si>
  <si>
    <t>5 mcmd</t>
  </si>
  <si>
    <t>4 mcmd</t>
  </si>
  <si>
    <t>3 mcmd</t>
  </si>
  <si>
    <t>2 mcmd</t>
  </si>
  <si>
    <t>1 mcmd</t>
  </si>
  <si>
    <t>0.5 mcmd</t>
  </si>
  <si>
    <t>0.4 mcmd</t>
  </si>
  <si>
    <t>0.3 mcmd</t>
  </si>
  <si>
    <t>0.2 mcmd</t>
  </si>
  <si>
    <t>0.1 mcmd</t>
  </si>
  <si>
    <t>£/km</t>
  </si>
  <si>
    <t>50 mm</t>
  </si>
  <si>
    <t>100 mm</t>
  </si>
  <si>
    <t>150 mm</t>
  </si>
  <si>
    <t>200 mm</t>
  </si>
  <si>
    <t>300 mm</t>
  </si>
  <si>
    <t>450mm</t>
  </si>
  <si>
    <t>600mm</t>
  </si>
  <si>
    <t>Cost</t>
  </si>
  <si>
    <t>= 10yr discount factor</t>
  </si>
  <si>
    <t>Pk Day</t>
  </si>
  <si>
    <t>SOQ (KWh)</t>
  </si>
  <si>
    <t>AQ (mkWh)</t>
  </si>
  <si>
    <t>Load Factor =</t>
  </si>
  <si>
    <t>Cost per KWh</t>
  </si>
  <si>
    <t xml:space="preserve">0 km </t>
  </si>
  <si>
    <t>Pipe Diam</t>
  </si>
  <si>
    <t>1) Pipeline Diameters for a range of distances and peak-day flowrates</t>
  </si>
  <si>
    <t>SOQ(mcmd)</t>
  </si>
  <si>
    <t>Pipeline Length, km</t>
  </si>
  <si>
    <t>2) Pipelaying Unit Costs</t>
  </si>
  <si>
    <t>Diam.</t>
  </si>
  <si>
    <t>Costs in Above Table :-    Non-dist.costs(annuitised) +</t>
  </si>
  <si>
    <t>Ln (SOQ)</t>
  </si>
  <si>
    <t>10 years original discount factor</t>
  </si>
  <si>
    <t xml:space="preserve">exp </t>
  </si>
  <si>
    <t>15 mcmd</t>
  </si>
  <si>
    <t>12 mcmd</t>
  </si>
  <si>
    <t>10 mcmd</t>
  </si>
  <si>
    <t>7 mcmd</t>
  </si>
  <si>
    <t>This includes Gas Control costs and non-distance related annuitised costs</t>
  </si>
  <si>
    <t>ln(cost) = -0.654 ln(SOQ)+5.8941</t>
  </si>
  <si>
    <t>Cost =SOQ^-0.654 * e^5.8941</t>
  </si>
  <si>
    <t>Cost =SOQ^-0.654 *362.89</t>
  </si>
  <si>
    <t>NON-DISTANCE</t>
  </si>
  <si>
    <t>DISTANCE ELEMENT</t>
  </si>
  <si>
    <t>ln(cost) = -0.834 ln(SOQ)+7.1228</t>
  </si>
  <si>
    <t>Cost =SOQ^-0.8354 * e^7.1228</t>
  </si>
  <si>
    <t>Cost =SOQ^-0.834 *1239.92</t>
  </si>
  <si>
    <t>60mcmd</t>
  </si>
  <si>
    <t>50mcmd</t>
  </si>
  <si>
    <t>40mcmd</t>
  </si>
  <si>
    <t>30mcmd</t>
  </si>
  <si>
    <t>20mcmd</t>
  </si>
  <si>
    <t>50km</t>
  </si>
  <si>
    <t>Diam. (mm)</t>
  </si>
  <si>
    <t>Total £'000's</t>
  </si>
  <si>
    <t>New pipe sizes</t>
  </si>
  <si>
    <t>3) Maintenance cost</t>
  </si>
  <si>
    <t xml:space="preserve">per/km </t>
  </si>
  <si>
    <t>10) Function Calculation</t>
  </si>
  <si>
    <t>4) Total Capital Costs for a range of distances and peak-day flowrates</t>
  </si>
  <si>
    <t>5) 10 year discount factor</t>
  </si>
  <si>
    <t xml:space="preserve">6) Annuitised </t>
  </si>
  <si>
    <t>7) Ongoing Costs</t>
  </si>
  <si>
    <t>8) Supply point capacities</t>
  </si>
  <si>
    <t>11) Function Calculation</t>
  </si>
  <si>
    <t>9) Cost per kWh</t>
  </si>
  <si>
    <t>10) Function calculation</t>
  </si>
  <si>
    <t>11) Shorthaul formula</t>
  </si>
  <si>
    <t>To calculate the Original Formula</t>
  </si>
  <si>
    <t>6) Annuitised Costs</t>
  </si>
  <si>
    <t>Pence per kWh</t>
  </si>
  <si>
    <t>Cost per kWh</t>
  </si>
  <si>
    <t>NTS GCD11 Option Two</t>
  </si>
  <si>
    <t xml:space="preserve">NTS Optional Commodity charge formula calculation - An illustrative model to show how the equation was derived. </t>
  </si>
  <si>
    <t>SOQ (kWh)</t>
  </si>
  <si>
    <t>AQ (GWh)</t>
  </si>
  <si>
    <t>LN(SOQ)</t>
  </si>
  <si>
    <t>flowrate (mcmd)</t>
  </si>
  <si>
    <t>Flowrate</t>
  </si>
  <si>
    <t>Flowrate (mcmd)</t>
  </si>
  <si>
    <t>1% of the pipeline annuitised costs is added to all the distance and flow rate combinations</t>
  </si>
  <si>
    <t>2.5% of the non-distance annuitised cost is added to all the distance and flow rate combinations</t>
  </si>
  <si>
    <t>£10,000 per km is added to all those with a distance greater than 0km</t>
  </si>
  <si>
    <t>£35,000 is added to all those with a distance greater than 0km</t>
  </si>
  <si>
    <t>£40,000 is added to all those with a flow rate between 1 and 5 mcmd, inclusive</t>
  </si>
  <si>
    <t>£80,000 is added to all those with a flow rate between 7 and 15 mcmd, inclusive</t>
  </si>
  <si>
    <t>£16,632 per km is added to all those with a distance greater than 0km</t>
  </si>
  <si>
    <t>£58,211 is added to all those with a distance greater than 0km</t>
  </si>
  <si>
    <t>£66,527 is added to all those with a flow rate between 1 and 5 mcmd, inclusive</t>
  </si>
  <si>
    <t>Pipelaying costs contribution (%)</t>
  </si>
  <si>
    <t xml:space="preserve">This table shows the pipe diameters in mm required to meet a range of typical peak day flowrates for a range of pipeline distances. </t>
  </si>
  <si>
    <t xml:space="preserve">This table shows how the ten year discount factor used in this model is calculated and this discount factor is used to calculate the annuitised cost. </t>
  </si>
  <si>
    <t>We have increased the pipeline diameters from a maximum of 600mm to 1220mm and the flow rates associated with them from a maximum of 15mcmd to 60mcmd.</t>
  </si>
  <si>
    <t>Overview</t>
  </si>
  <si>
    <t>NTS Optional Commodity Charge pricing function</t>
  </si>
  <si>
    <t>09/10 Price</t>
  </si>
  <si>
    <t>15/16 Price</t>
  </si>
  <si>
    <t>Original</t>
  </si>
  <si>
    <t>09/10 Prices</t>
  </si>
  <si>
    <t>15/16 Prices</t>
  </si>
  <si>
    <t>RPI Indexation</t>
  </si>
  <si>
    <t>£133,054 is added to all those with a flow rate between 7 and 60 mcmd, inclusive</t>
  </si>
  <si>
    <t>ln(cost) = -0.7076 ln(SOQ)+7.2597</t>
  </si>
  <si>
    <t>Cost =SOQ^-0.7076 * e^7.2597</t>
  </si>
  <si>
    <t>Cost =SOQ^-0.7076 *1421.83</t>
  </si>
  <si>
    <t>The price function is made up of two elements, both related to load size. The first element is based on those costs which do not vary with distance (e.g. metering, telemetry, terminal connection, volumetric control). The second element is related to the geographical distance from the local terminal to the site.</t>
  </si>
  <si>
    <t xml:space="preserve">This table contains the unit costs per km based on historical planning and design specification for the different pipe sizes based on values used to produce the NTS Optional Commodity Charge formula in 1998. </t>
  </si>
  <si>
    <t>This table calculates the supply point capacities using an average load factor of 75% of the SOQ. This is used to calculate the Annual Quantity AQ in GWh that will be used to calculate the cost per kWh.</t>
  </si>
  <si>
    <t>We have a number of estimated embedded costs in the model. In aggregate these costs are meant to cover maintenance and they are estimated based on the pipe size and distance.</t>
  </si>
  <si>
    <t>As per Original Formula</t>
  </si>
  <si>
    <t xml:space="preserve">To adjust for RPI from 1998/99 to 2015/16 is a combination of the two indexation values above. </t>
  </si>
  <si>
    <t>Indexation</t>
  </si>
  <si>
    <t>RPI</t>
  </si>
  <si>
    <t>Steel Index</t>
  </si>
  <si>
    <r>
      <t>1998/99 to 2009/10 Prices</t>
    </r>
    <r>
      <rPr>
        <sz val="14"/>
        <rFont val="Arial"/>
        <family val="2"/>
      </rPr>
      <t xml:space="preserve"> is an index adjustment of 2.19272977</t>
    </r>
  </si>
  <si>
    <t>9/10 Prices</t>
  </si>
  <si>
    <t>1998 Unit Cost</t>
  </si>
  <si>
    <t>15/16 Unit Costs</t>
  </si>
  <si>
    <t>ln(cost) = -0.7235 ln(SOQ)+6.62225</t>
  </si>
  <si>
    <t>Cost =SOQ^-0.7235 * e^6.62225</t>
  </si>
  <si>
    <t>Cost =SOQ^-0.7235 *751.63</t>
  </si>
  <si>
    <t>Pipe size</t>
  </si>
  <si>
    <t>This table calculates the total project cost per annum made up of annuitised capital costs and ongoing (revenue) costs over a ten year project life using the costs from step 4 and the 10 year discount factor from step 5.</t>
  </si>
  <si>
    <t xml:space="preserve">There are 11 steps followed in producing the equation for calculating the current NTS Optional Commodity Charge formula. The steps below are either establishing necessary source information or calculations and the descriptions below highlight what is taking place. The steps outlined below relate to the corresponding numbered sections in the applicable tabs within this spreasheet. </t>
  </si>
  <si>
    <t xml:space="preserve">This table calculates the total capital cost for a range of distances and peak day flowrates. This is done by multiplying the pipe laying unit cost from step 2 by the distance and adding the non-distance related cost from step 3. Additional costs are included for pipeline distances at 25km and over (£100k) with an extra increment (£100k) at 50km as an estimate of additional costs as distance increases. </t>
  </si>
  <si>
    <t>This table divides the annuitised ongoing costs in step 7 by the annual quantities corresponding to the supply point capacities using an average load factor of 75% to generate a matrix of unit cost in table 8 (supply point capacities), expressed in p/kWh for a range of supply point capacities and distances.</t>
  </si>
  <si>
    <r>
      <t>The extra costs included in this step have been indexed from 1998/99 to 2015/16 prices using RPI.</t>
    </r>
    <r>
      <rPr>
        <sz val="14"/>
        <rFont val="Arial"/>
        <family val="2"/>
      </rPr>
      <t xml:space="preserve"> </t>
    </r>
  </si>
  <si>
    <t xml:space="preserve">Additional costs that are included for pipeline distances at 25km and over (£100k) with an extra increment (£100k) at 50km as an estimate of additional costs as distance increases are indexed from 1998/99 to 2015/16 prices using RPI. </t>
  </si>
  <si>
    <r>
      <t>1998/99 to 2009/10 Prices</t>
    </r>
    <r>
      <rPr>
        <sz val="14"/>
        <rFont val="Arial"/>
        <family val="2"/>
      </rPr>
      <t xml:space="preserve"> is an index adjustment of 1.35587318</t>
    </r>
  </si>
  <si>
    <r>
      <t>2009/10 to 2015/16 Prices is an index adjustment of 1.22664930</t>
    </r>
    <r>
      <rPr>
        <sz val="14"/>
        <rFont val="Arial"/>
        <family val="2"/>
      </rPr>
      <t xml:space="preserve">                                                                                                                                                                                                           </t>
    </r>
  </si>
  <si>
    <r>
      <t xml:space="preserve">This is illustrative of </t>
    </r>
    <r>
      <rPr>
        <b/>
        <sz val="14"/>
        <rFont val="Arial"/>
        <family val="2"/>
      </rPr>
      <t>Option Two under NTS GCD11</t>
    </r>
    <r>
      <rPr>
        <sz val="14"/>
        <rFont val="Arial"/>
        <family val="2"/>
      </rPr>
      <t xml:space="preserve"> that shows how, if updating the costs, the formula calculation could be updated to preserve the structure of the calculation with minimal changes. The changes outlined below are as per those given in NTS GCD11. </t>
    </r>
  </si>
  <si>
    <t xml:space="preserve">There are a number of steps that require an indexation adjustment and we use either RPI or a combination of RPI and a Steel index as outlined in NTS GCD11. For information the indexation values used are shown here. </t>
  </si>
  <si>
    <t xml:space="preserve">The NTS GCD11 Option Two worksheet follows the same 11 steps outlined in the Original Formula worksheet. However a few changes have been made to accommodate the update on the cost inputs. As outlined in NTS GCD11 the flow rates range has been increased from 0.1 - 15mcmd to 0.1 - 60mcmd. We have also included three extra pipe sizes and we have calculated the ratio between the distance and non-distance cost element for the added pipe sizes. We specified any indexation that was done in the various steps and specified the indexation method used e.g. Steel index or RPI. 
N.B. For the extra pipe sizes we have not included the actual values for commercial sensitivity reasons and included random values for illustrative purposes for the benefit of showing how the formula is updated. </t>
  </si>
  <si>
    <t>This table contains a total value of some of the non-distance related costs for each of the peak day flowrates.</t>
  </si>
  <si>
    <t xml:space="preserve">This section calculates the distance and non-distance related parts of the function and this is done by means of regression analysis on the data. The functions are expressed as power relationships. The zero distance p/kWh is from step 9. The distance related average p/kWh is calculated by subtracting the 0km cost per kWh value from the 50 km cost per kWh in step 9 and dividing by 50. These are used to create linear equations that represent the non-distance and distance related elements of the NTS Optional Commodity charge function. </t>
  </si>
  <si>
    <t>This section contains the NTS Optional Commodity Charge formula that is produced from the previous steps. The formula is made up of the gradient and intercepts values from the two linear equations (non-distance and distance related). The first part of the equation covers the distance related element of the equation and the second part is the non-distance related part of the equation.</t>
  </si>
  <si>
    <t>We have added unit costs for three new pipe sizes and indexed them from 2009/10 to 2015/16 prices using RPI. For the extra pipe sizes we have not included the actual values for commercial sensitivity reasons and included random values for illustrative purposes for the benefit of showing how the formula is updated. 
We have also indexed the unit costs in the original model from 1998/98 to 2009/10 prices using a steel index and then from 2009/10 to 2015/16 using RPI. 
Using the ratio between the 0km cost and the cost at 50km we have calculated the percentage distribution between the fixed and variable cost for the new pipe sizes.</t>
  </si>
  <si>
    <t xml:space="preserve">Contact: </t>
  </si>
  <si>
    <t xml:space="preserve">box.transmissioncapacityandcharging@nationalgrid.com </t>
  </si>
  <si>
    <r>
      <t>1240*[(SOQ)</t>
    </r>
    <r>
      <rPr>
        <vertAlign val="superscript"/>
        <sz val="28"/>
        <rFont val="Arial"/>
        <family val="2"/>
      </rPr>
      <t>-0.834</t>
    </r>
    <r>
      <rPr>
        <sz val="28"/>
        <rFont val="Arial"/>
        <family val="2"/>
      </rPr>
      <t>] *D+363*(SOQ)</t>
    </r>
    <r>
      <rPr>
        <vertAlign val="superscript"/>
        <sz val="28"/>
        <rFont val="Arial"/>
        <family val="2"/>
      </rPr>
      <t>-0.654</t>
    </r>
  </si>
  <si>
    <t>We have applied the maintenance cost for 600mm in the original formula and applied it to the new pipe sizes. All the maintenance costs have been indexed from 1998/99 to 2015/16 prices using RPI.</t>
  </si>
  <si>
    <t>This table calculates the ongoing costs of the hypothetical pipeline based on a number of assumptions and estimates. The total for including these costs are through a combination of adjustments that in total provide the assumption for the annual maintenance and operation costs associated to the pipeline. These costs increase in steps based on flow rates and distances. 
The extra costs included in this table are: 
a) 1% of the pipeline annuitised costs is added to all the distance and flow rate combinations
b) 2.5% of the non-distance annuitised cost is added to all the distance and flow rate combinations
c) £10,000 Per km is added to all those with a distance greater than 0km
d) £35,000 is added to all those with a distance greater than 0km
e) £40,000 is added to all those with a flow rate between 1 and 5 mcmd, inclusive
f) £80,000 is added to all those with a flow rate between 7 and 15 mcmd, inclusive</t>
  </si>
  <si>
    <r>
      <t>1421*[(SOQ)</t>
    </r>
    <r>
      <rPr>
        <vertAlign val="superscript"/>
        <sz val="28"/>
        <rFont val="Arial"/>
        <family val="2"/>
      </rPr>
      <t>-0.708</t>
    </r>
    <r>
      <rPr>
        <sz val="28"/>
        <rFont val="Arial"/>
        <family val="2"/>
      </rPr>
      <t>] *D+752*(SOQ)</t>
    </r>
    <r>
      <rPr>
        <vertAlign val="superscript"/>
        <sz val="28"/>
        <rFont val="Arial"/>
        <family val="2"/>
      </rPr>
      <t>-0.724</t>
    </r>
  </si>
  <si>
    <t>Published: December 2015</t>
  </si>
  <si>
    <t>The model provides a guide on how the current NTS Optional Commodity charge ("Shorthaul") formula is calculated. This formula has been in place since the introduction of the NTS Optional Commodity charge in 1998. 
-This Cover Sheet gives an overview of the contents and a guide to each step in the calculation of the formula. 
-The "Original Formula" sheet shows a breakdown of how the formula in its current state has been calculated based on the values used for the introduction of the NTS Optional Commodity Charge in 1998. 
-The "NTS GCD11 Option Two" sheet shows how the calculation of the formula was updated to prepare Option Two that was part of NTS Gas Charging Discussion 11 Document (NTS GCD11). This has been included to show how the changes were made to update the costs to give an understanding of the drivers behind the equation.                                                                                                                                                                                     - In an effort to maximise transparency, we used all the publicly available input data in the historical documentation that was used when calculating the original formula in 1998, however please note the constants in the Original Formula tab compared to the published formula found in the NTS Transportation Charging Statement have a slight mismatch.</t>
  </si>
  <si>
    <t>Version</t>
  </si>
  <si>
    <t>Date of update</t>
  </si>
  <si>
    <t>Detail</t>
  </si>
  <si>
    <t>Date of initial publication</t>
  </si>
  <si>
    <t>Update to the Overview section on the coversheet</t>
  </si>
  <si>
    <r>
      <rPr>
        <b/>
        <sz val="7"/>
        <color rgb="FF365F91"/>
        <rFont val="Times New Roman"/>
        <family val="1"/>
      </rPr>
      <t xml:space="preserve"> </t>
    </r>
    <r>
      <rPr>
        <b/>
        <sz val="14"/>
        <color rgb="FF365F91"/>
        <rFont val="Cambria"/>
        <family val="1"/>
      </rPr>
      <t>Version History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</si>
</sst>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3" formatCode="_-* #,##0.00_-;\-* #,##0.00_-;_-* &quot;-&quot;??_-;_-@_-"/>
    <numFmt numFmtId="164" formatCode="&quot;£&quot;#,##0"/>
    <numFmt numFmtId="165" formatCode="&quot;£&quot;#,##0.00"/>
    <numFmt numFmtId="166" formatCode="0.0000"/>
    <numFmt numFmtId="167" formatCode="0.00000"/>
    <numFmt numFmtId="168" formatCode="_-* #,##0.00000_-;\-* #,##0.00000_-;_-* &quot;-&quot;??_-;_-@_-"/>
    <numFmt numFmtId="169" formatCode="0.000000000"/>
    <numFmt numFmtId="170" formatCode="0.000"/>
    <numFmt numFmtId="171" formatCode="dd\-mmm\-yyyy"/>
  </numFmts>
  <fonts count="37" x14ac:knownFonts="1">
    <font>
      <sz val="12"/>
      <name val="Arial"/>
    </font>
    <font>
      <b/>
      <sz val="12"/>
      <name val="Arial"/>
      <family val="2"/>
    </font>
    <font>
      <sz val="12"/>
      <name val="Arial"/>
      <family val="2"/>
    </font>
    <font>
      <sz val="10"/>
      <name val="Arial"/>
      <family val="2"/>
    </font>
    <font>
      <b/>
      <sz val="12"/>
      <name val="Arial"/>
      <family val="2"/>
    </font>
    <font>
      <sz val="8"/>
      <name val="Arial"/>
      <family val="2"/>
    </font>
    <font>
      <sz val="12"/>
      <name val="Arial"/>
      <family val="2"/>
    </font>
    <font>
      <sz val="14"/>
      <name val="Arial"/>
      <family val="2"/>
    </font>
    <font>
      <sz val="2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Arial"/>
      <family val="2"/>
    </font>
    <font>
      <b/>
      <sz val="14"/>
      <name val="Arial"/>
      <family val="2"/>
    </font>
    <font>
      <sz val="14"/>
      <color rgb="FF000000"/>
      <name val="Arial"/>
      <family val="2"/>
    </font>
    <font>
      <b/>
      <u/>
      <sz val="14"/>
      <name val="Arial"/>
      <family val="2"/>
    </font>
    <font>
      <b/>
      <sz val="14"/>
      <color rgb="FF000000"/>
      <name val="Arial"/>
      <family val="2"/>
    </font>
    <font>
      <u/>
      <sz val="12"/>
      <color theme="10"/>
      <name val="Arial"/>
      <family val="2"/>
    </font>
    <font>
      <vertAlign val="superscript"/>
      <sz val="28"/>
      <name val="Arial"/>
      <family val="2"/>
    </font>
    <font>
      <b/>
      <sz val="14"/>
      <color rgb="FF365F91"/>
      <name val="Cambria"/>
      <family val="1"/>
    </font>
    <font>
      <b/>
      <sz val="7"/>
      <color rgb="FF365F91"/>
      <name val="Times New Roman"/>
      <family val="1"/>
    </font>
    <font>
      <sz val="11"/>
      <name val="Calibri"/>
      <family val="2"/>
    </font>
    <font>
      <b/>
      <sz val="11"/>
      <name val="Calibri"/>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solid">
        <fgColor rgb="FFBFBFBF"/>
        <bgColor indexed="64"/>
      </patternFill>
    </fill>
  </fills>
  <borders count="2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4">
    <xf numFmtId="0" fontId="0" fillId="0" borderId="0" applyFont="0" applyFill="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5" applyNumberFormat="0" applyAlignment="0" applyProtection="0"/>
    <xf numFmtId="0" fontId="13" fillId="29" borderId="16" applyNumberFormat="0" applyAlignment="0" applyProtection="0"/>
    <xf numFmtId="43" fontId="3"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0" fontId="14" fillId="0" borderId="0" applyNumberFormat="0" applyFill="0" applyBorder="0" applyAlignment="0" applyProtection="0"/>
    <xf numFmtId="0" fontId="15" fillId="30" borderId="0" applyNumberFormat="0" applyBorder="0" applyAlignment="0" applyProtection="0"/>
    <xf numFmtId="0" fontId="16" fillId="0" borderId="17" applyNumberFormat="0" applyFill="0" applyAlignment="0" applyProtection="0"/>
    <xf numFmtId="0" fontId="17" fillId="0" borderId="18" applyNumberFormat="0" applyFill="0" applyAlignment="0" applyProtection="0"/>
    <xf numFmtId="0" fontId="18" fillId="0" borderId="19" applyNumberFormat="0" applyFill="0" applyAlignment="0" applyProtection="0"/>
    <xf numFmtId="0" fontId="18" fillId="0" borderId="0" applyNumberFormat="0" applyFill="0" applyBorder="0" applyAlignment="0" applyProtection="0"/>
    <xf numFmtId="0" fontId="19" fillId="31" borderId="15" applyNumberFormat="0" applyAlignment="0" applyProtection="0"/>
    <xf numFmtId="0" fontId="20" fillId="0" borderId="20" applyNumberFormat="0" applyFill="0" applyAlignment="0" applyProtection="0"/>
    <xf numFmtId="0" fontId="21" fillId="32" borderId="0" applyNumberFormat="0" applyBorder="0" applyAlignment="0" applyProtection="0"/>
    <xf numFmtId="0" fontId="9" fillId="0" borderId="0"/>
    <xf numFmtId="0" fontId="5"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4" fontId="2" fillId="0" borderId="0"/>
    <xf numFmtId="0" fontId="9" fillId="33" borderId="21" applyNumberFormat="0" applyFont="0" applyAlignment="0" applyProtection="0"/>
    <xf numFmtId="0" fontId="22" fillId="28" borderId="22" applyNumberFormat="0" applyAlignment="0" applyProtection="0"/>
    <xf numFmtId="9" fontId="5" fillId="0" borderId="0" applyFon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0" applyNumberFormat="0" applyFill="0" applyBorder="0" applyAlignment="0" applyProtection="0"/>
    <xf numFmtId="0" fontId="2" fillId="0" borderId="0"/>
    <xf numFmtId="0" fontId="31" fillId="0" borderId="0" applyNumberFormat="0" applyFill="0" applyBorder="0" applyAlignment="0" applyProtection="0"/>
  </cellStyleXfs>
  <cellXfs count="206">
    <xf numFmtId="0" fontId="0" fillId="0" borderId="0" xfId="0" applyAlignment="1"/>
    <xf numFmtId="0" fontId="6" fillId="0" borderId="0" xfId="0" applyFont="1" applyAlignment="1"/>
    <xf numFmtId="0" fontId="4" fillId="0" borderId="0" xfId="0" applyFont="1" applyFill="1" applyAlignment="1"/>
    <xf numFmtId="0" fontId="6" fillId="0" borderId="0" xfId="0" applyFont="1" applyFill="1" applyAlignment="1"/>
    <xf numFmtId="3" fontId="6" fillId="0" borderId="0" xfId="45" applyNumberFormat="1" applyFont="1" applyFill="1"/>
    <xf numFmtId="2" fontId="6" fillId="0" borderId="0" xfId="45" applyNumberFormat="1" applyFont="1" applyFill="1"/>
    <xf numFmtId="0" fontId="6" fillId="0" borderId="0" xfId="45" applyNumberFormat="1" applyFont="1" applyFill="1" applyAlignment="1" applyProtection="1">
      <protection locked="0"/>
    </xf>
    <xf numFmtId="0" fontId="4" fillId="0" borderId="0" xfId="45" applyNumberFormat="1" applyFont="1" applyFill="1" applyAlignment="1" applyProtection="1">
      <alignment horizontal="center"/>
      <protection locked="0"/>
    </xf>
    <xf numFmtId="0" fontId="4" fillId="0" borderId="0" xfId="45" applyNumberFormat="1" applyFont="1" applyFill="1" applyBorder="1" applyAlignment="1">
      <alignment horizontal="center"/>
    </xf>
    <xf numFmtId="0" fontId="4" fillId="0" borderId="0" xfId="45" applyNumberFormat="1" applyFont="1" applyFill="1" applyBorder="1" applyAlignment="1">
      <alignment horizontal="left"/>
    </xf>
    <xf numFmtId="0" fontId="2" fillId="0" borderId="0" xfId="45" applyNumberFormat="1" applyFont="1" applyFill="1" applyBorder="1" applyAlignment="1">
      <alignment horizontal="center"/>
    </xf>
    <xf numFmtId="4" fontId="2" fillId="0" borderId="0" xfId="45" applyNumberFormat="1" applyFont="1" applyFill="1" applyBorder="1" applyAlignment="1">
      <alignment horizontal="center"/>
    </xf>
    <xf numFmtId="3" fontId="2" fillId="0" borderId="0" xfId="45" applyNumberFormat="1" applyFont="1" applyFill="1" applyBorder="1" applyAlignment="1">
      <alignment horizontal="center"/>
    </xf>
    <xf numFmtId="164" fontId="2" fillId="0" borderId="0" xfId="45" applyFont="1" applyFill="1" applyBorder="1" applyAlignment="1">
      <alignment horizontal="center"/>
    </xf>
    <xf numFmtId="0" fontId="2" fillId="0" borderId="0" xfId="45" applyNumberFormat="1" applyFont="1" applyFill="1" applyBorder="1" applyAlignment="1">
      <alignment horizontal="left"/>
    </xf>
    <xf numFmtId="0" fontId="1" fillId="0" borderId="0" xfId="45" applyNumberFormat="1" applyFont="1" applyFill="1" applyBorder="1" applyAlignment="1">
      <alignment horizontal="center"/>
    </xf>
    <xf numFmtId="0" fontId="1" fillId="0" borderId="0" xfId="45" applyNumberFormat="1" applyFont="1" applyFill="1" applyBorder="1" applyAlignment="1">
      <alignment horizontal="left"/>
    </xf>
    <xf numFmtId="3" fontId="1" fillId="0" borderId="0" xfId="45" applyNumberFormat="1" applyFont="1" applyFill="1" applyBorder="1" applyAlignment="1">
      <alignment horizontal="center"/>
    </xf>
    <xf numFmtId="0" fontId="2" fillId="0" borderId="0" xfId="45" applyNumberFormat="1" applyFont="1" applyFill="1" applyBorder="1" applyAlignment="1" applyProtection="1">
      <alignment horizontal="center"/>
      <protection locked="0"/>
    </xf>
    <xf numFmtId="3" fontId="2" fillId="0" borderId="0" xfId="45" applyNumberFormat="1" applyFill="1" applyBorder="1" applyAlignment="1">
      <alignment horizontal="center"/>
    </xf>
    <xf numFmtId="0" fontId="6" fillId="0" borderId="0" xfId="45" applyNumberFormat="1" applyFont="1" applyFill="1" applyBorder="1" applyAlignment="1" applyProtection="1">
      <alignment horizontal="center"/>
      <protection locked="0"/>
    </xf>
    <xf numFmtId="0" fontId="2" fillId="0" borderId="0" xfId="45" applyNumberFormat="1" applyFill="1" applyBorder="1" applyAlignment="1">
      <alignment horizontal="center"/>
    </xf>
    <xf numFmtId="0" fontId="4" fillId="0" borderId="0" xfId="45" applyNumberFormat="1" applyFont="1" applyFill="1" applyBorder="1" applyAlignment="1" applyProtection="1">
      <alignment horizontal="center"/>
      <protection locked="0"/>
    </xf>
    <xf numFmtId="3" fontId="2" fillId="0" borderId="0" xfId="45" applyNumberFormat="1" applyFont="1" applyFill="1" applyBorder="1" applyAlignment="1" applyProtection="1">
      <alignment horizontal="center"/>
      <protection locked="0"/>
    </xf>
    <xf numFmtId="164" fontId="2" fillId="0" borderId="0" xfId="45" applyFill="1" applyBorder="1" applyAlignment="1">
      <alignment horizontal="center"/>
    </xf>
    <xf numFmtId="1" fontId="2" fillId="0" borderId="0" xfId="45" applyNumberFormat="1" applyFill="1" applyBorder="1" applyAlignment="1">
      <alignment horizontal="center"/>
    </xf>
    <xf numFmtId="2" fontId="1" fillId="0" borderId="0" xfId="45" applyNumberFormat="1" applyFont="1" applyFill="1" applyBorder="1" applyAlignment="1">
      <alignment horizontal="center"/>
    </xf>
    <xf numFmtId="164" fontId="1" fillId="0" borderId="0" xfId="45" applyFont="1" applyFill="1" applyBorder="1" applyAlignment="1">
      <alignment horizontal="center"/>
    </xf>
    <xf numFmtId="167" fontId="2" fillId="0" borderId="0" xfId="45" applyNumberFormat="1" applyFill="1" applyBorder="1" applyAlignment="1">
      <alignment horizontal="center"/>
    </xf>
    <xf numFmtId="1" fontId="2" fillId="0" borderId="0" xfId="45" applyNumberFormat="1" applyFont="1" applyFill="1" applyBorder="1" applyAlignment="1">
      <alignment horizontal="center"/>
    </xf>
    <xf numFmtId="166" fontId="2" fillId="0" borderId="0" xfId="45" applyNumberFormat="1" applyFill="1" applyBorder="1" applyAlignment="1">
      <alignment horizontal="center"/>
    </xf>
    <xf numFmtId="166" fontId="2" fillId="0" borderId="0" xfId="45" applyNumberFormat="1" applyFont="1" applyFill="1" applyBorder="1" applyAlignment="1">
      <alignment horizontal="center"/>
    </xf>
    <xf numFmtId="0" fontId="2" fillId="0" borderId="0" xfId="45" applyNumberFormat="1" applyFont="1" applyFill="1" applyBorder="1" applyAlignment="1" applyProtection="1">
      <alignment horizontal="left"/>
      <protection locked="0"/>
    </xf>
    <xf numFmtId="3" fontId="2" fillId="0" borderId="0" xfId="45" applyNumberFormat="1" applyFill="1" applyBorder="1" applyAlignment="1">
      <alignment horizontal="left"/>
    </xf>
    <xf numFmtId="4" fontId="2" fillId="0" borderId="0" xfId="45" applyNumberFormat="1" applyFont="1" applyFill="1" applyBorder="1" applyAlignment="1">
      <alignment horizontal="left"/>
    </xf>
    <xf numFmtId="0" fontId="2" fillId="0" borderId="0" xfId="45" applyNumberFormat="1" applyFill="1" applyBorder="1" applyAlignment="1">
      <alignment horizontal="left"/>
    </xf>
    <xf numFmtId="3" fontId="2" fillId="0" borderId="0" xfId="45" applyNumberFormat="1" applyFont="1" applyFill="1" applyBorder="1" applyAlignment="1">
      <alignment horizontal="left"/>
    </xf>
    <xf numFmtId="164" fontId="4" fillId="0" borderId="0" xfId="45" applyFont="1" applyFill="1" applyBorder="1" applyAlignment="1"/>
    <xf numFmtId="0" fontId="4" fillId="2" borderId="0" xfId="45" applyNumberFormat="1" applyFont="1" applyFill="1" applyAlignment="1" applyProtection="1">
      <alignment horizontal="center"/>
      <protection locked="0"/>
    </xf>
    <xf numFmtId="3" fontId="6" fillId="2" borderId="0" xfId="45" applyNumberFormat="1" applyFont="1" applyFill="1"/>
    <xf numFmtId="2" fontId="6" fillId="2" borderId="0" xfId="45" applyNumberFormat="1" applyFont="1" applyFill="1"/>
    <xf numFmtId="0" fontId="6" fillId="2" borderId="0" xfId="45" applyNumberFormat="1" applyFont="1" applyFill="1" applyAlignment="1" applyProtection="1">
      <protection locked="0"/>
    </xf>
    <xf numFmtId="0" fontId="6" fillId="2" borderId="0" xfId="0" applyFont="1" applyFill="1" applyAlignment="1"/>
    <xf numFmtId="0" fontId="4" fillId="2" borderId="0" xfId="0" applyFont="1" applyFill="1" applyAlignment="1"/>
    <xf numFmtId="0" fontId="6" fillId="2" borderId="0" xfId="0" applyFont="1" applyFill="1" applyBorder="1"/>
    <xf numFmtId="0" fontId="4" fillId="2" borderId="0" xfId="45" applyNumberFormat="1" applyFont="1" applyFill="1" applyAlignment="1">
      <alignment horizontal="center"/>
    </xf>
    <xf numFmtId="2" fontId="4" fillId="2" borderId="0" xfId="0" applyNumberFormat="1" applyFont="1" applyFill="1" applyAlignment="1"/>
    <xf numFmtId="0" fontId="4" fillId="2" borderId="11" xfId="45" applyNumberFormat="1" applyFont="1" applyFill="1" applyBorder="1" applyAlignment="1"/>
    <xf numFmtId="3" fontId="6" fillId="2" borderId="11" xfId="45" applyNumberFormat="1" applyFont="1" applyFill="1" applyBorder="1"/>
    <xf numFmtId="167" fontId="6" fillId="2" borderId="11" xfId="45" applyNumberFormat="1" applyFont="1" applyFill="1" applyBorder="1"/>
    <xf numFmtId="0" fontId="6" fillId="2" borderId="11" xfId="45" applyNumberFormat="1" applyFont="1" applyFill="1" applyBorder="1" applyAlignment="1"/>
    <xf numFmtId="2" fontId="6" fillId="2" borderId="0" xfId="0" applyNumberFormat="1" applyFont="1" applyFill="1" applyAlignment="1"/>
    <xf numFmtId="0" fontId="4" fillId="0" borderId="0" xfId="0" applyFont="1" applyFill="1" applyBorder="1" applyAlignment="1"/>
    <xf numFmtId="0" fontId="6" fillId="0" borderId="0" xfId="0" applyFont="1" applyFill="1" applyBorder="1"/>
    <xf numFmtId="0" fontId="4" fillId="0" borderId="0" xfId="0" applyFont="1" applyFill="1" applyBorder="1"/>
    <xf numFmtId="0" fontId="6" fillId="0" borderId="0" xfId="0" applyFont="1" applyFill="1" applyBorder="1" applyAlignment="1"/>
    <xf numFmtId="0" fontId="6" fillId="0" borderId="0" xfId="0" applyFont="1" applyFill="1" applyBorder="1" applyAlignment="1">
      <alignment horizontal="right"/>
    </xf>
    <xf numFmtId="0" fontId="6" fillId="0" borderId="0" xfId="45" applyNumberFormat="1" applyFont="1" applyFill="1" applyBorder="1" applyAlignment="1" applyProtection="1">
      <protection locked="0"/>
    </xf>
    <xf numFmtId="0" fontId="2" fillId="0" borderId="8" xfId="45" applyNumberFormat="1" applyFont="1" applyFill="1" applyBorder="1" applyAlignment="1" applyProtection="1">
      <alignment horizontal="center"/>
      <protection locked="0"/>
    </xf>
    <xf numFmtId="0" fontId="2" fillId="0" borderId="6" xfId="45" applyNumberFormat="1" applyFont="1" applyFill="1" applyBorder="1" applyAlignment="1" applyProtection="1">
      <alignment horizontal="center"/>
      <protection locked="0"/>
    </xf>
    <xf numFmtId="0" fontId="2" fillId="0" borderId="4" xfId="45" applyNumberFormat="1" applyFont="1" applyFill="1" applyBorder="1" applyAlignment="1" applyProtection="1">
      <alignment horizontal="center"/>
      <protection locked="0"/>
    </xf>
    <xf numFmtId="0" fontId="2" fillId="0" borderId="13" xfId="45" applyNumberFormat="1" applyFont="1" applyFill="1" applyBorder="1" applyAlignment="1" applyProtection="1">
      <alignment horizontal="center"/>
      <protection locked="0"/>
    </xf>
    <xf numFmtId="0" fontId="2" fillId="0" borderId="5" xfId="45" applyNumberFormat="1" applyFont="1" applyFill="1" applyBorder="1" applyAlignment="1" applyProtection="1">
      <alignment horizontal="center"/>
      <protection locked="0"/>
    </xf>
    <xf numFmtId="0" fontId="4" fillId="0" borderId="7" xfId="45" applyNumberFormat="1" applyFont="1" applyFill="1" applyBorder="1" applyAlignment="1">
      <alignment horizontal="center"/>
    </xf>
    <xf numFmtId="0" fontId="4" fillId="0" borderId="14" xfId="45" applyNumberFormat="1" applyFont="1" applyFill="1" applyBorder="1" applyAlignment="1">
      <alignment horizontal="center"/>
    </xf>
    <xf numFmtId="0" fontId="2" fillId="0" borderId="14" xfId="45" applyNumberFormat="1" applyFill="1" applyBorder="1" applyAlignment="1">
      <alignment horizontal="center"/>
    </xf>
    <xf numFmtId="0" fontId="2" fillId="0" borderId="9" xfId="45" applyNumberFormat="1" applyFill="1" applyBorder="1" applyAlignment="1">
      <alignment horizontal="center"/>
    </xf>
    <xf numFmtId="0" fontId="4" fillId="0" borderId="8" xfId="45" applyNumberFormat="1" applyFont="1" applyFill="1" applyBorder="1" applyAlignment="1">
      <alignment horizontal="center"/>
    </xf>
    <xf numFmtId="9" fontId="2" fillId="0" borderId="6" xfId="45" applyNumberFormat="1" applyFill="1" applyBorder="1" applyAlignment="1">
      <alignment horizontal="center"/>
    </xf>
    <xf numFmtId="0" fontId="4" fillId="0" borderId="4" xfId="45" applyNumberFormat="1" applyFont="1" applyFill="1" applyBorder="1" applyAlignment="1">
      <alignment horizontal="center"/>
    </xf>
    <xf numFmtId="3" fontId="2" fillId="0" borderId="13" xfId="45" applyNumberFormat="1" applyFill="1" applyBorder="1" applyAlignment="1">
      <alignment horizontal="center"/>
    </xf>
    <xf numFmtId="1" fontId="2" fillId="0" borderId="13" xfId="45" applyNumberFormat="1" applyFill="1" applyBorder="1" applyAlignment="1">
      <alignment horizontal="center"/>
    </xf>
    <xf numFmtId="0" fontId="6" fillId="2" borderId="0" xfId="0" applyFont="1" applyFill="1" applyBorder="1" applyAlignment="1"/>
    <xf numFmtId="0" fontId="4" fillId="2" borderId="0" xfId="0" applyFont="1" applyFill="1" applyBorder="1" applyAlignment="1"/>
    <xf numFmtId="0" fontId="6" fillId="2" borderId="0" xfId="0" applyFont="1" applyFill="1" applyBorder="1" applyAlignment="1">
      <alignment horizontal="right"/>
    </xf>
    <xf numFmtId="0" fontId="6" fillId="2" borderId="0" xfId="45" applyNumberFormat="1" applyFont="1" applyFill="1" applyBorder="1" applyAlignment="1" applyProtection="1">
      <protection locked="0"/>
    </xf>
    <xf numFmtId="0" fontId="4" fillId="2" borderId="0" xfId="45" applyNumberFormat="1" applyFont="1" applyFill="1" applyBorder="1" applyAlignment="1" applyProtection="1">
      <alignment horizontal="center"/>
      <protection locked="0"/>
    </xf>
    <xf numFmtId="0" fontId="6" fillId="2" borderId="0" xfId="0" applyFont="1" applyFill="1" applyAlignment="1">
      <alignment horizontal="left"/>
    </xf>
    <xf numFmtId="1" fontId="2" fillId="0" borderId="0" xfId="45" applyNumberFormat="1" applyFont="1" applyFill="1" applyBorder="1" applyAlignment="1" applyProtection="1">
      <alignment horizontal="center"/>
      <protection locked="0"/>
    </xf>
    <xf numFmtId="0" fontId="4" fillId="0" borderId="14" xfId="45" applyNumberFormat="1" applyFont="1" applyFill="1" applyBorder="1" applyAlignment="1"/>
    <xf numFmtId="1" fontId="2" fillId="0" borderId="13" xfId="45" applyNumberFormat="1" applyFont="1" applyFill="1" applyBorder="1" applyAlignment="1" applyProtection="1">
      <alignment horizontal="center"/>
      <protection locked="0"/>
    </xf>
    <xf numFmtId="0" fontId="2" fillId="0" borderId="2" xfId="45" applyNumberFormat="1" applyFont="1" applyFill="1" applyBorder="1" applyAlignment="1" applyProtection="1">
      <alignment horizontal="center"/>
      <protection locked="0"/>
    </xf>
    <xf numFmtId="2" fontId="1" fillId="0" borderId="3" xfId="45" applyNumberFormat="1" applyFont="1" applyFill="1" applyBorder="1" applyAlignment="1">
      <alignment horizontal="center"/>
    </xf>
    <xf numFmtId="1" fontId="2" fillId="0" borderId="10" xfId="45" applyNumberFormat="1" applyFill="1" applyBorder="1" applyAlignment="1">
      <alignment horizontal="center"/>
    </xf>
    <xf numFmtId="0" fontId="2" fillId="0" borderId="10" xfId="45" applyNumberFormat="1" applyFont="1" applyFill="1" applyBorder="1" applyAlignment="1" applyProtection="1">
      <alignment horizontal="center"/>
      <protection locked="0"/>
    </xf>
    <xf numFmtId="0" fontId="1" fillId="0" borderId="0" xfId="0" applyFont="1" applyFill="1" applyAlignment="1"/>
    <xf numFmtId="2" fontId="4" fillId="0" borderId="0" xfId="0" applyNumberFormat="1" applyFont="1" applyFill="1" applyAlignment="1"/>
    <xf numFmtId="0" fontId="4" fillId="0" borderId="11" xfId="45" applyNumberFormat="1" applyFont="1" applyFill="1" applyBorder="1" applyAlignment="1"/>
    <xf numFmtId="3" fontId="6" fillId="0" borderId="11" xfId="45" applyNumberFormat="1" applyFont="1" applyFill="1" applyBorder="1"/>
    <xf numFmtId="0" fontId="6" fillId="0" borderId="11" xfId="45" applyNumberFormat="1" applyFont="1" applyFill="1" applyBorder="1" applyAlignment="1"/>
    <xf numFmtId="167" fontId="6" fillId="0" borderId="11" xfId="45" applyNumberFormat="1" applyFont="1" applyFill="1" applyBorder="1"/>
    <xf numFmtId="0" fontId="6" fillId="0" borderId="0" xfId="45" applyNumberFormat="1" applyFont="1" applyFill="1" applyAlignment="1"/>
    <xf numFmtId="167" fontId="6" fillId="0" borderId="0" xfId="45" applyNumberFormat="1" applyFont="1" applyFill="1"/>
    <xf numFmtId="0" fontId="2" fillId="0" borderId="0" xfId="0" applyFont="1" applyFill="1" applyAlignment="1"/>
    <xf numFmtId="0" fontId="1" fillId="2" borderId="0" xfId="45" applyNumberFormat="1" applyFont="1" applyFill="1" applyBorder="1" applyAlignment="1" applyProtection="1">
      <alignment horizontal="left"/>
      <protection locked="0"/>
    </xf>
    <xf numFmtId="0" fontId="6" fillId="2" borderId="2" xfId="0" applyFont="1" applyFill="1" applyBorder="1" applyAlignment="1"/>
    <xf numFmtId="0" fontId="6" fillId="0" borderId="1" xfId="0" applyFont="1" applyFill="1" applyBorder="1" applyAlignment="1"/>
    <xf numFmtId="0" fontId="6" fillId="0" borderId="2" xfId="0" applyFont="1" applyFill="1" applyBorder="1" applyAlignment="1"/>
    <xf numFmtId="0" fontId="4" fillId="34" borderId="8" xfId="45" applyNumberFormat="1" applyFont="1" applyFill="1" applyBorder="1" applyAlignment="1">
      <alignment horizontal="center"/>
    </xf>
    <xf numFmtId="164" fontId="2" fillId="34" borderId="0" xfId="45" applyNumberFormat="1" applyFont="1" applyFill="1" applyBorder="1" applyAlignment="1">
      <alignment horizontal="center"/>
    </xf>
    <xf numFmtId="167" fontId="6" fillId="34" borderId="11" xfId="45" applyNumberFormat="1" applyFont="1" applyFill="1" applyBorder="1"/>
    <xf numFmtId="3" fontId="6" fillId="34" borderId="11" xfId="45" applyNumberFormat="1" applyFont="1" applyFill="1" applyBorder="1"/>
    <xf numFmtId="0" fontId="6" fillId="34" borderId="11" xfId="45" applyNumberFormat="1" applyFont="1" applyFill="1" applyBorder="1" applyAlignment="1"/>
    <xf numFmtId="0" fontId="2" fillId="34" borderId="0" xfId="45" applyNumberFormat="1" applyFont="1" applyFill="1" applyBorder="1" applyAlignment="1">
      <alignment horizontal="center"/>
    </xf>
    <xf numFmtId="167" fontId="2" fillId="34" borderId="0" xfId="45" applyNumberFormat="1" applyFill="1" applyBorder="1" applyAlignment="1">
      <alignment horizontal="center"/>
    </xf>
    <xf numFmtId="164" fontId="2" fillId="34" borderId="0" xfId="45" applyFont="1" applyFill="1" applyBorder="1" applyAlignment="1">
      <alignment horizontal="center"/>
    </xf>
    <xf numFmtId="0" fontId="1" fillId="34" borderId="0" xfId="45" applyNumberFormat="1" applyFont="1" applyFill="1" applyBorder="1" applyAlignment="1">
      <alignment horizontal="center"/>
    </xf>
    <xf numFmtId="3" fontId="2" fillId="34" borderId="0" xfId="45" applyNumberFormat="1" applyFill="1" applyBorder="1" applyAlignment="1">
      <alignment horizontal="center"/>
    </xf>
    <xf numFmtId="0" fontId="4" fillId="34" borderId="0" xfId="45" applyNumberFormat="1" applyFont="1" applyFill="1" applyBorder="1" applyAlignment="1">
      <alignment horizontal="center"/>
    </xf>
    <xf numFmtId="1" fontId="2" fillId="34" borderId="0" xfId="45" applyNumberFormat="1" applyFont="1" applyFill="1" applyBorder="1" applyAlignment="1">
      <alignment horizontal="center"/>
    </xf>
    <xf numFmtId="0" fontId="2" fillId="2" borderId="0" xfId="0" applyFont="1" applyFill="1" applyAlignment="1"/>
    <xf numFmtId="0" fontId="1" fillId="2" borderId="0" xfId="0" applyFont="1" applyFill="1" applyAlignment="1"/>
    <xf numFmtId="0" fontId="1" fillId="0" borderId="0" xfId="45" applyNumberFormat="1" applyFont="1" applyFill="1" applyBorder="1" applyAlignment="1" applyProtection="1">
      <alignment horizontal="center"/>
      <protection locked="0"/>
    </xf>
    <xf numFmtId="0" fontId="1" fillId="0" borderId="0" xfId="45" applyNumberFormat="1" applyFont="1" applyFill="1" applyBorder="1" applyAlignment="1" applyProtection="1">
      <alignment horizontal="left"/>
      <protection locked="0"/>
    </xf>
    <xf numFmtId="0" fontId="7" fillId="0" borderId="0" xfId="0" applyFont="1" applyAlignment="1"/>
    <xf numFmtId="3" fontId="2" fillId="0" borderId="10" xfId="45" applyNumberFormat="1" applyFont="1" applyFill="1" applyBorder="1" applyAlignment="1" applyProtection="1">
      <alignment horizontal="center"/>
      <protection locked="0"/>
    </xf>
    <xf numFmtId="3" fontId="2" fillId="0" borderId="12" xfId="45" applyNumberFormat="1" applyFont="1" applyFill="1" applyBorder="1" applyAlignment="1" applyProtection="1">
      <alignment horizontal="center"/>
      <protection locked="0"/>
    </xf>
    <xf numFmtId="0" fontId="1" fillId="0" borderId="10" xfId="45" applyNumberFormat="1" applyFont="1" applyFill="1" applyBorder="1" applyAlignment="1" applyProtection="1">
      <alignment horizontal="center"/>
      <protection locked="0"/>
    </xf>
    <xf numFmtId="0" fontId="1" fillId="0" borderId="10" xfId="45" applyNumberFormat="1" applyFont="1" applyFill="1" applyBorder="1" applyAlignment="1" applyProtection="1">
      <alignment horizontal="center" wrapText="1"/>
      <protection locked="0"/>
    </xf>
    <xf numFmtId="0" fontId="1" fillId="34" borderId="10" xfId="45" applyNumberFormat="1" applyFont="1" applyFill="1" applyBorder="1" applyAlignment="1">
      <alignment horizontal="center"/>
    </xf>
    <xf numFmtId="164" fontId="2" fillId="0" borderId="0" xfId="45" applyNumberFormat="1" applyFont="1" applyFill="1" applyBorder="1" applyAlignment="1">
      <alignment horizontal="center"/>
    </xf>
    <xf numFmtId="0" fontId="1" fillId="0" borderId="11" xfId="45" applyNumberFormat="1" applyFont="1" applyFill="1" applyBorder="1" applyAlignment="1"/>
    <xf numFmtId="3" fontId="6" fillId="0" borderId="7" xfId="45" applyNumberFormat="1" applyFont="1" applyFill="1" applyBorder="1"/>
    <xf numFmtId="0" fontId="6" fillId="0" borderId="14" xfId="0" applyFont="1" applyFill="1" applyBorder="1" applyAlignment="1"/>
    <xf numFmtId="0" fontId="6" fillId="0" borderId="9" xfId="0" applyFont="1" applyFill="1" applyBorder="1" applyAlignment="1"/>
    <xf numFmtId="3" fontId="6" fillId="0" borderId="8" xfId="45" applyNumberFormat="1" applyFont="1" applyFill="1" applyBorder="1"/>
    <xf numFmtId="0" fontId="6" fillId="0" borderId="6" xfId="0" applyFont="1" applyFill="1" applyBorder="1" applyAlignment="1"/>
    <xf numFmtId="0" fontId="8" fillId="0" borderId="0" xfId="0" applyFont="1" applyFill="1" applyBorder="1" applyAlignment="1"/>
    <xf numFmtId="0" fontId="6" fillId="0" borderId="13" xfId="0" applyFont="1" applyFill="1" applyBorder="1" applyAlignment="1"/>
    <xf numFmtId="0" fontId="6" fillId="0" borderId="5" xfId="0" applyFont="1" applyFill="1" applyBorder="1" applyAlignment="1"/>
    <xf numFmtId="0" fontId="8" fillId="0" borderId="0" xfId="0" applyFont="1" applyFill="1" applyBorder="1" applyAlignment="1">
      <alignment horizontal="left"/>
    </xf>
    <xf numFmtId="0" fontId="1" fillId="2" borderId="11" xfId="45" applyNumberFormat="1" applyFont="1" applyFill="1" applyBorder="1" applyAlignment="1"/>
    <xf numFmtId="1" fontId="2" fillId="34" borderId="0" xfId="45" applyNumberFormat="1" applyFill="1" applyBorder="1" applyAlignment="1">
      <alignment horizontal="center"/>
    </xf>
    <xf numFmtId="1" fontId="2" fillId="34" borderId="0" xfId="45" applyNumberFormat="1" applyFont="1" applyFill="1" applyBorder="1" applyAlignment="1" applyProtection="1">
      <alignment horizontal="center"/>
      <protection locked="0"/>
    </xf>
    <xf numFmtId="3" fontId="2" fillId="34" borderId="0" xfId="45" applyNumberFormat="1" applyFill="1" applyBorder="1" applyAlignment="1">
      <alignment horizontal="center"/>
    </xf>
    <xf numFmtId="0" fontId="2" fillId="0" borderId="6" xfId="45" applyNumberFormat="1" applyFill="1" applyBorder="1" applyAlignment="1">
      <alignment horizontal="center"/>
    </xf>
    <xf numFmtId="6" fontId="2" fillId="0" borderId="0" xfId="45" applyNumberFormat="1" applyFont="1" applyFill="1" applyBorder="1" applyAlignment="1" applyProtection="1">
      <alignment horizontal="left"/>
      <protection locked="0"/>
    </xf>
    <xf numFmtId="6" fontId="2" fillId="0" borderId="0" xfId="45" applyNumberFormat="1" applyFont="1" applyFill="1" applyBorder="1" applyAlignment="1" applyProtection="1">
      <protection locked="0"/>
    </xf>
    <xf numFmtId="0" fontId="1" fillId="0" borderId="14" xfId="45" applyNumberFormat="1" applyFont="1" applyFill="1" applyBorder="1" applyAlignment="1">
      <alignment horizontal="center"/>
    </xf>
    <xf numFmtId="164" fontId="2" fillId="0" borderId="0" xfId="45" applyNumberFormat="1" applyFont="1" applyFill="1" applyBorder="1" applyAlignment="1" applyProtection="1">
      <alignment horizontal="center"/>
      <protection locked="0"/>
    </xf>
    <xf numFmtId="165" fontId="2" fillId="0" borderId="0" xfId="45" applyNumberFormat="1" applyFont="1" applyFill="1" applyBorder="1" applyAlignment="1" applyProtection="1">
      <alignment horizontal="center"/>
      <protection locked="0"/>
    </xf>
    <xf numFmtId="168" fontId="2" fillId="0" borderId="0" xfId="28" applyNumberFormat="1" applyFont="1" applyFill="1" applyBorder="1" applyAlignment="1" applyProtection="1">
      <alignment horizontal="center"/>
      <protection locked="0"/>
    </xf>
    <xf numFmtId="0" fontId="1" fillId="0" borderId="14" xfId="45" applyNumberFormat="1" applyFont="1" applyFill="1" applyBorder="1" applyAlignment="1"/>
    <xf numFmtId="0" fontId="4" fillId="2" borderId="24" xfId="45" applyNumberFormat="1" applyFont="1" applyFill="1" applyBorder="1" applyAlignment="1"/>
    <xf numFmtId="0" fontId="2" fillId="0" borderId="11" xfId="45" applyNumberFormat="1" applyFont="1" applyFill="1" applyBorder="1" applyAlignment="1" applyProtection="1">
      <alignment horizontal="center"/>
      <protection locked="0"/>
    </xf>
    <xf numFmtId="0" fontId="4" fillId="0" borderId="24" xfId="45" applyNumberFormat="1" applyFont="1" applyFill="1" applyBorder="1" applyAlignment="1"/>
    <xf numFmtId="164" fontId="2" fillId="0" borderId="7" xfId="45" applyFont="1" applyFill="1" applyBorder="1" applyAlignment="1">
      <alignment horizontal="center"/>
    </xf>
    <xf numFmtId="164" fontId="2" fillId="0" borderId="14" xfId="45" applyFont="1" applyFill="1" applyBorder="1" applyAlignment="1">
      <alignment horizontal="center"/>
    </xf>
    <xf numFmtId="164" fontId="2" fillId="0" borderId="9" xfId="45" applyFont="1" applyFill="1" applyBorder="1" applyAlignment="1">
      <alignment horizontal="center"/>
    </xf>
    <xf numFmtId="0" fontId="2" fillId="0" borderId="8" xfId="45" applyNumberFormat="1" applyFont="1" applyFill="1" applyBorder="1" applyAlignment="1">
      <alignment horizontal="left"/>
    </xf>
    <xf numFmtId="0" fontId="2" fillId="0" borderId="0" xfId="45" applyNumberFormat="1" applyFont="1" applyFill="1" applyBorder="1" applyAlignment="1"/>
    <xf numFmtId="164" fontId="2" fillId="0" borderId="6" xfId="45" applyFont="1" applyFill="1" applyBorder="1" applyAlignment="1">
      <alignment horizontal="center"/>
    </xf>
    <xf numFmtId="0" fontId="2" fillId="0" borderId="0" xfId="45" applyNumberFormat="1" applyFont="1" applyFill="1" applyBorder="1" applyAlignment="1" applyProtection="1">
      <protection locked="0"/>
    </xf>
    <xf numFmtId="0" fontId="2" fillId="0" borderId="13" xfId="45" applyNumberFormat="1" applyFont="1" applyFill="1" applyBorder="1" applyAlignment="1" applyProtection="1">
      <alignment horizontal="left"/>
      <protection locked="0"/>
    </xf>
    <xf numFmtId="2" fontId="2" fillId="0" borderId="12" xfId="45" applyNumberFormat="1" applyFont="1" applyFill="1" applyBorder="1" applyAlignment="1" applyProtection="1">
      <alignment horizontal="center"/>
      <protection locked="0"/>
    </xf>
    <xf numFmtId="2" fontId="2" fillId="0" borderId="10" xfId="45" applyNumberFormat="1" applyFont="1" applyFill="1" applyBorder="1" applyAlignment="1" applyProtection="1">
      <alignment horizontal="center"/>
      <protection locked="0"/>
    </xf>
    <xf numFmtId="16" fontId="1" fillId="0" borderId="0" xfId="45" applyNumberFormat="1" applyFont="1" applyFill="1" applyBorder="1" applyAlignment="1" applyProtection="1">
      <alignment horizontal="left"/>
      <protection locked="0"/>
    </xf>
    <xf numFmtId="169" fontId="2" fillId="0" borderId="10" xfId="45" applyNumberFormat="1" applyFont="1" applyFill="1" applyBorder="1" applyAlignment="1" applyProtection="1">
      <alignment horizontal="center"/>
      <protection locked="0"/>
    </xf>
    <xf numFmtId="16" fontId="1" fillId="0" borderId="10" xfId="45" applyNumberFormat="1" applyFont="1" applyFill="1" applyBorder="1" applyAlignment="1" applyProtection="1">
      <alignment horizontal="left"/>
      <protection locked="0"/>
    </xf>
    <xf numFmtId="0" fontId="1" fillId="0" borderId="10" xfId="45" applyNumberFormat="1" applyFont="1" applyFill="1" applyBorder="1" applyAlignment="1" applyProtection="1">
      <alignment horizontal="left"/>
      <protection locked="0"/>
    </xf>
    <xf numFmtId="3" fontId="26" fillId="0" borderId="10" xfId="45" applyNumberFormat="1" applyFont="1" applyBorder="1" applyAlignment="1">
      <alignment horizontal="center"/>
    </xf>
    <xf numFmtId="3" fontId="2" fillId="34" borderId="0" xfId="45" applyNumberFormat="1" applyFont="1" applyFill="1" applyBorder="1" applyAlignment="1">
      <alignment horizontal="center"/>
    </xf>
    <xf numFmtId="3" fontId="1" fillId="34" borderId="0" xfId="45" applyNumberFormat="1" applyFont="1" applyFill="1" applyBorder="1" applyAlignment="1">
      <alignment horizontal="center"/>
    </xf>
    <xf numFmtId="164" fontId="2" fillId="0" borderId="4" xfId="45" applyFont="1" applyFill="1" applyBorder="1" applyAlignment="1">
      <alignment horizontal="center"/>
    </xf>
    <xf numFmtId="164" fontId="2" fillId="0" borderId="13" xfId="45" applyFont="1" applyFill="1" applyBorder="1" applyAlignment="1">
      <alignment horizontal="center"/>
    </xf>
    <xf numFmtId="164" fontId="2" fillId="0" borderId="5" xfId="45" applyFont="1" applyFill="1" applyBorder="1" applyAlignment="1">
      <alignment horizontal="center"/>
    </xf>
    <xf numFmtId="169" fontId="1" fillId="0" borderId="10" xfId="45" applyNumberFormat="1" applyFont="1" applyFill="1" applyBorder="1" applyAlignment="1" applyProtection="1">
      <alignment horizontal="center"/>
      <protection locked="0"/>
    </xf>
    <xf numFmtId="3" fontId="26" fillId="0" borderId="0" xfId="45" applyNumberFormat="1" applyFont="1" applyBorder="1" applyAlignment="1">
      <alignment horizontal="center"/>
    </xf>
    <xf numFmtId="169" fontId="2" fillId="0" borderId="0" xfId="45" applyNumberFormat="1" applyFont="1" applyFill="1" applyBorder="1" applyAlignment="1" applyProtection="1">
      <alignment horizontal="center"/>
      <protection locked="0"/>
    </xf>
    <xf numFmtId="0" fontId="27" fillId="0" borderId="0" xfId="0" applyFont="1" applyAlignment="1">
      <alignment wrapText="1"/>
    </xf>
    <xf numFmtId="0" fontId="7" fillId="0" borderId="0" xfId="0" applyFont="1" applyAlignment="1">
      <alignment horizontal="left" vertical="top" wrapText="1"/>
    </xf>
    <xf numFmtId="0" fontId="7" fillId="0" borderId="0" xfId="0" applyFont="1" applyFill="1" applyAlignment="1">
      <alignment horizontal="left" vertical="top" wrapText="1"/>
    </xf>
    <xf numFmtId="0" fontId="27" fillId="0" borderId="0" xfId="45" applyNumberFormat="1" applyFont="1" applyFill="1" applyBorder="1" applyAlignment="1">
      <alignment horizontal="left" wrapText="1"/>
    </xf>
    <xf numFmtId="0" fontId="28" fillId="0" borderId="0" xfId="0" applyFont="1" applyAlignment="1">
      <alignment wrapText="1"/>
    </xf>
    <xf numFmtId="0" fontId="28" fillId="0" borderId="0" xfId="0" applyFont="1" applyFill="1" applyAlignment="1">
      <alignment wrapText="1"/>
    </xf>
    <xf numFmtId="0" fontId="7" fillId="0" borderId="0" xfId="0" applyFont="1" applyAlignment="1">
      <alignment wrapText="1"/>
    </xf>
    <xf numFmtId="0" fontId="7" fillId="0" borderId="0" xfId="0" applyFont="1" applyAlignment="1">
      <alignment vertical="center"/>
    </xf>
    <xf numFmtId="0" fontId="28" fillId="0" borderId="0" xfId="0" applyFont="1" applyFill="1" applyAlignment="1">
      <alignment vertical="top" wrapText="1"/>
    </xf>
    <xf numFmtId="3" fontId="6" fillId="0" borderId="0" xfId="45" applyNumberFormat="1" applyFont="1" applyFill="1" applyBorder="1"/>
    <xf numFmtId="0" fontId="1" fillId="0" borderId="10" xfId="45" applyNumberFormat="1" applyFont="1" applyFill="1" applyBorder="1" applyAlignment="1">
      <alignment horizontal="center"/>
    </xf>
    <xf numFmtId="0" fontId="1" fillId="0" borderId="10" xfId="45" applyNumberFormat="1" applyFont="1" applyFill="1" applyBorder="1" applyAlignment="1"/>
    <xf numFmtId="16" fontId="1" fillId="0" borderId="10" xfId="45" applyNumberFormat="1" applyFont="1" applyFill="1" applyBorder="1" applyAlignment="1" applyProtection="1">
      <alignment horizontal="center"/>
      <protection locked="0"/>
    </xf>
    <xf numFmtId="3" fontId="2" fillId="34" borderId="0" xfId="45" applyNumberFormat="1" applyFont="1" applyFill="1" applyBorder="1" applyAlignment="1" applyProtection="1">
      <alignment horizontal="center"/>
      <protection locked="0"/>
    </xf>
    <xf numFmtId="3" fontId="2" fillId="0" borderId="10" xfId="45" applyNumberFormat="1" applyFill="1" applyBorder="1" applyAlignment="1">
      <alignment horizontal="left"/>
    </xf>
    <xf numFmtId="3" fontId="2" fillId="0" borderId="10" xfId="45" applyNumberFormat="1" applyFill="1" applyBorder="1" applyAlignment="1">
      <alignment horizontal="center"/>
    </xf>
    <xf numFmtId="0" fontId="4" fillId="0" borderId="10" xfId="45" applyNumberFormat="1" applyFont="1" applyFill="1" applyBorder="1" applyAlignment="1">
      <alignment horizontal="center"/>
    </xf>
    <xf numFmtId="0" fontId="2" fillId="0" borderId="10" xfId="45" applyNumberFormat="1" applyFont="1" applyFill="1" applyBorder="1" applyAlignment="1" applyProtection="1">
      <alignment horizontal="left"/>
      <protection locked="0"/>
    </xf>
    <xf numFmtId="0" fontId="29" fillId="0" borderId="0" xfId="0" applyFont="1" applyAlignment="1">
      <alignment horizontal="left" vertical="top" wrapText="1"/>
    </xf>
    <xf numFmtId="0" fontId="29" fillId="0" borderId="0" xfId="0" applyFont="1" applyAlignment="1">
      <alignment wrapText="1"/>
    </xf>
    <xf numFmtId="0" fontId="30" fillId="0" borderId="0" xfId="0" applyFont="1" applyFill="1" applyAlignment="1">
      <alignment wrapText="1"/>
    </xf>
    <xf numFmtId="0" fontId="7" fillId="0" borderId="0" xfId="0" applyFont="1" applyFill="1" applyAlignment="1">
      <alignment wrapText="1"/>
    </xf>
    <xf numFmtId="0" fontId="28" fillId="0" borderId="0" xfId="0" applyFont="1" applyAlignment="1">
      <alignment vertical="top" wrapText="1"/>
    </xf>
    <xf numFmtId="0" fontId="31" fillId="0" borderId="0" xfId="53" applyAlignment="1">
      <alignment wrapText="1"/>
    </xf>
    <xf numFmtId="1" fontId="6" fillId="2" borderId="1" xfId="0" applyNumberFormat="1" applyFont="1" applyFill="1" applyBorder="1" applyAlignment="1"/>
    <xf numFmtId="1" fontId="6" fillId="0" borderId="1" xfId="0" applyNumberFormat="1" applyFont="1" applyFill="1" applyBorder="1" applyAlignment="1"/>
    <xf numFmtId="170" fontId="6" fillId="0" borderId="1" xfId="0" applyNumberFormat="1" applyFont="1" applyFill="1" applyBorder="1" applyAlignment="1"/>
    <xf numFmtId="0" fontId="35" fillId="0" borderId="0" xfId="0" applyFont="1" applyAlignment="1">
      <alignment vertical="center"/>
    </xf>
    <xf numFmtId="0" fontId="36" fillId="35" borderId="27" xfId="0" applyFont="1" applyFill="1" applyBorder="1" applyAlignment="1">
      <alignment vertical="center" wrapText="1"/>
    </xf>
    <xf numFmtId="0" fontId="36" fillId="35" borderId="2" xfId="0" applyFont="1" applyFill="1" applyBorder="1" applyAlignment="1">
      <alignment vertical="center" wrapText="1"/>
    </xf>
    <xf numFmtId="0" fontId="35" fillId="0" borderId="3" xfId="0" applyFont="1" applyBorder="1" applyAlignment="1">
      <alignment vertical="center" wrapText="1"/>
    </xf>
    <xf numFmtId="171" fontId="35" fillId="0" borderId="5" xfId="0" applyNumberFormat="1" applyFont="1" applyBorder="1" applyAlignment="1">
      <alignment vertical="center" wrapText="1"/>
    </xf>
    <xf numFmtId="0" fontId="35" fillId="0" borderId="5" xfId="0" applyFont="1" applyBorder="1" applyAlignment="1">
      <alignment vertical="center" wrapText="1"/>
    </xf>
    <xf numFmtId="0" fontId="33" fillId="0" borderId="0" xfId="0" applyFont="1" applyAlignment="1">
      <alignment vertical="center"/>
    </xf>
    <xf numFmtId="0" fontId="1" fillId="0" borderId="10" xfId="45" applyNumberFormat="1" applyFont="1" applyFill="1" applyBorder="1" applyAlignment="1">
      <alignment horizontal="center"/>
    </xf>
    <xf numFmtId="0" fontId="1" fillId="0" borderId="25" xfId="45" applyNumberFormat="1" applyFont="1" applyFill="1" applyBorder="1" applyAlignment="1">
      <alignment horizontal="center"/>
    </xf>
    <xf numFmtId="0" fontId="1" fillId="0" borderId="26" xfId="45" applyNumberFormat="1" applyFont="1" applyFill="1" applyBorder="1" applyAlignment="1">
      <alignment horizontal="center"/>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53" builtinId="8"/>
    <cellStyle name="Input" xfId="37" builtinId="20" customBuiltin="1"/>
    <cellStyle name="Linked Cell" xfId="38" builtinId="24" customBuiltin="1"/>
    <cellStyle name="Neutral" xfId="39" builtinId="28" customBuiltin="1"/>
    <cellStyle name="Normal" xfId="0" builtinId="0"/>
    <cellStyle name="Normal 2" xfId="40" xr:uid="{00000000-0005-0000-0000-000029000000}"/>
    <cellStyle name="Normal 3" xfId="41" xr:uid="{00000000-0005-0000-0000-00002A000000}"/>
    <cellStyle name="Normal 4" xfId="42" xr:uid="{00000000-0005-0000-0000-00002B000000}"/>
    <cellStyle name="Normal 5" xfId="43" xr:uid="{00000000-0005-0000-0000-00002C000000}"/>
    <cellStyle name="Normal 6" xfId="44" xr:uid="{00000000-0005-0000-0000-00002D000000}"/>
    <cellStyle name="Normal 8" xfId="52" xr:uid="{00000000-0005-0000-0000-00002E000000}"/>
    <cellStyle name="Normal_TC9 Data" xfId="45" xr:uid="{00000000-0005-0000-0000-00002F000000}"/>
    <cellStyle name="Note 2" xfId="46" xr:uid="{00000000-0005-0000-0000-000030000000}"/>
    <cellStyle name="Output" xfId="47" builtinId="21" customBuiltin="1"/>
    <cellStyle name="Percent 2" xfId="48" xr:uid="{00000000-0005-0000-0000-000032000000}"/>
    <cellStyle name="Title" xfId="49" builtinId="15" customBuiltin="1"/>
    <cellStyle name="Total" xfId="50" builtinId="25" customBuiltin="1"/>
    <cellStyle name="Warning Text" xfId="5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0" i="0" u="none" strike="noStrike" baseline="0">
                <a:solidFill>
                  <a:srgbClr val="000000"/>
                </a:solidFill>
                <a:latin typeface="Arial"/>
                <a:ea typeface="Arial"/>
                <a:cs typeface="Arial"/>
              </a:defRPr>
            </a:pPr>
            <a:r>
              <a:rPr lang="en-GB"/>
              <a:t>Cost per KWh for km distance</a:t>
            </a:r>
          </a:p>
        </c:rich>
      </c:tx>
      <c:layout>
        <c:manualLayout>
          <c:xMode val="edge"/>
          <c:yMode val="edge"/>
          <c:x val="0.32242466977923551"/>
          <c:y val="2.8960948571524408E-2"/>
        </c:manualLayout>
      </c:layout>
      <c:overlay val="0"/>
      <c:spPr>
        <a:noFill/>
        <a:ln w="25400">
          <a:noFill/>
        </a:ln>
      </c:spPr>
    </c:title>
    <c:autoTitleDeleted val="0"/>
    <c:plotArea>
      <c:layout>
        <c:manualLayout>
          <c:layoutTarget val="inner"/>
          <c:xMode val="edge"/>
          <c:yMode val="edge"/>
          <c:x val="0.19515174615500255"/>
          <c:y val="0.1635434412265758"/>
          <c:w val="0.70545538051063039"/>
          <c:h val="0.58773424190800683"/>
        </c:manualLayout>
      </c:layout>
      <c:scatterChart>
        <c:scatterStyle val="lineMarker"/>
        <c:varyColors val="0"/>
        <c:ser>
          <c:idx val="0"/>
          <c:order val="0"/>
          <c:tx>
            <c:v>Cost per KWh for 0 distance</c:v>
          </c:tx>
          <c:spPr>
            <a:ln w="12700">
              <a:solidFill>
                <a:srgbClr val="000080"/>
              </a:solidFill>
              <a:prstDash val="solid"/>
            </a:ln>
          </c:spPr>
          <c:marker>
            <c:symbol val="diamond"/>
            <c:size val="5"/>
            <c:spPr>
              <a:solidFill>
                <a:srgbClr val="000080"/>
              </a:solidFill>
              <a:ln>
                <a:solidFill>
                  <a:srgbClr val="000080"/>
                </a:solidFill>
                <a:prstDash val="solid"/>
              </a:ln>
            </c:spPr>
          </c:marker>
          <c:xVal>
            <c:numRef>
              <c:f>'Original Formula'!$E$134:$E$147</c:f>
              <c:numCache>
                <c:formatCode>#,##0</c:formatCode>
                <c:ptCount val="14"/>
                <c:pt idx="0">
                  <c:v>162450000</c:v>
                </c:pt>
                <c:pt idx="1">
                  <c:v>129960000</c:v>
                </c:pt>
                <c:pt idx="2">
                  <c:v>108300000</c:v>
                </c:pt>
                <c:pt idx="3">
                  <c:v>75810000</c:v>
                </c:pt>
                <c:pt idx="4">
                  <c:v>54150000</c:v>
                </c:pt>
                <c:pt idx="5">
                  <c:v>43320000</c:v>
                </c:pt>
                <c:pt idx="6">
                  <c:v>32490000</c:v>
                </c:pt>
                <c:pt idx="7">
                  <c:v>21660000</c:v>
                </c:pt>
                <c:pt idx="8">
                  <c:v>10830000</c:v>
                </c:pt>
                <c:pt idx="9">
                  <c:v>5415000</c:v>
                </c:pt>
                <c:pt idx="10">
                  <c:v>4332000</c:v>
                </c:pt>
                <c:pt idx="11">
                  <c:v>3249000</c:v>
                </c:pt>
                <c:pt idx="12">
                  <c:v>2166000</c:v>
                </c:pt>
                <c:pt idx="13">
                  <c:v>1083000</c:v>
                </c:pt>
              </c:numCache>
            </c:numRef>
          </c:xVal>
          <c:yVal>
            <c:numRef>
              <c:f>'Original Formula'!$B$198:$B$211</c:f>
              <c:numCache>
                <c:formatCode>0.00000</c:formatCode>
                <c:ptCount val="14"/>
                <c:pt idx="0">
                  <c:v>1.7257725669166728E-4</c:v>
                </c:pt>
                <c:pt idx="1">
                  <c:v>2.1572157086458408E-4</c:v>
                </c:pt>
                <c:pt idx="2">
                  <c:v>2.5886588503750091E-4</c:v>
                </c:pt>
                <c:pt idx="3">
                  <c:v>3.2488801399869116E-4</c:v>
                </c:pt>
                <c:pt idx="4">
                  <c:v>4.5484321959816769E-4</c:v>
                </c:pt>
                <c:pt idx="5">
                  <c:v>5.685540244977095E-4</c:v>
                </c:pt>
                <c:pt idx="6">
                  <c:v>5.5155242834350007E-4</c:v>
                </c:pt>
                <c:pt idx="7">
                  <c:v>8.2732864251524999E-4</c:v>
                </c:pt>
                <c:pt idx="8">
                  <c:v>1.461461526150395E-3</c:v>
                </c:pt>
                <c:pt idx="9">
                  <c:v>2.9229230523007891E-3</c:v>
                </c:pt>
                <c:pt idx="10">
                  <c:v>3.4537961337758783E-3</c:v>
                </c:pt>
                <c:pt idx="11">
                  <c:v>4.6050615117011707E-3</c:v>
                </c:pt>
                <c:pt idx="12">
                  <c:v>6.9075922675517565E-3</c:v>
                </c:pt>
                <c:pt idx="13">
                  <c:v>1.1816607719102423E-2</c:v>
                </c:pt>
              </c:numCache>
            </c:numRef>
          </c:yVal>
          <c:smooth val="0"/>
          <c:extLst>
            <c:ext xmlns:c16="http://schemas.microsoft.com/office/drawing/2014/chart" uri="{C3380CC4-5D6E-409C-BE32-E72D297353CC}">
              <c16:uniqueId val="{00000000-78C0-473D-81B0-D747677FC2C0}"/>
            </c:ext>
          </c:extLst>
        </c:ser>
        <c:dLbls>
          <c:showLegendKey val="0"/>
          <c:showVal val="0"/>
          <c:showCatName val="0"/>
          <c:showSerName val="0"/>
          <c:showPercent val="0"/>
          <c:showBubbleSize val="0"/>
        </c:dLbls>
        <c:axId val="162107776"/>
        <c:axId val="162110080"/>
      </c:scatterChart>
      <c:valAx>
        <c:axId val="162107776"/>
        <c:scaling>
          <c:orientation val="minMax"/>
        </c:scaling>
        <c:delete val="0"/>
        <c:axPos val="b"/>
        <c:title>
          <c:tx>
            <c:rich>
              <a:bodyPr/>
              <a:lstStyle/>
              <a:p>
                <a:pPr>
                  <a:defRPr sz="1700" b="1" i="0" u="none" strike="noStrike" baseline="0">
                    <a:solidFill>
                      <a:srgbClr val="000000"/>
                    </a:solidFill>
                    <a:latin typeface="Arial"/>
                    <a:ea typeface="Arial"/>
                    <a:cs typeface="Arial"/>
                  </a:defRPr>
                </a:pPr>
                <a:r>
                  <a:rPr lang="en-GB"/>
                  <a:t>SOQ kWh</a:t>
                </a:r>
              </a:p>
            </c:rich>
          </c:tx>
          <c:layout>
            <c:manualLayout>
              <c:xMode val="edge"/>
              <c:yMode val="edge"/>
              <c:x val="0.47878830614287188"/>
              <c:y val="0.841567088458990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en-US"/>
          </a:p>
        </c:txPr>
        <c:crossAx val="162110080"/>
        <c:crosses val="autoZero"/>
        <c:crossBetween val="midCat"/>
      </c:valAx>
      <c:valAx>
        <c:axId val="162110080"/>
        <c:scaling>
          <c:orientation val="minMax"/>
        </c:scaling>
        <c:delete val="0"/>
        <c:axPos val="l"/>
        <c:majorGridlines>
          <c:spPr>
            <a:ln w="3175">
              <a:solidFill>
                <a:srgbClr val="000000"/>
              </a:solidFill>
              <a:prstDash val="solid"/>
            </a:ln>
          </c:spPr>
        </c:majorGridlines>
        <c:title>
          <c:tx>
            <c:rich>
              <a:bodyPr/>
              <a:lstStyle/>
              <a:p>
                <a:pPr>
                  <a:defRPr sz="1700" b="1" i="0" u="none" strike="noStrike" baseline="0">
                    <a:solidFill>
                      <a:srgbClr val="000000"/>
                    </a:solidFill>
                    <a:latin typeface="Arial"/>
                    <a:ea typeface="Arial"/>
                    <a:cs typeface="Arial"/>
                  </a:defRPr>
                </a:pPr>
                <a:r>
                  <a:rPr lang="en-GB"/>
                  <a:t>Cost pence per kWh</a:t>
                </a:r>
              </a:p>
            </c:rich>
          </c:tx>
          <c:layout>
            <c:manualLayout>
              <c:xMode val="edge"/>
              <c:yMode val="edge"/>
              <c:x val="1.9393939393939394E-2"/>
              <c:y val="0.26064753087972631"/>
            </c:manualLayout>
          </c:layout>
          <c:overlay val="0"/>
          <c:spPr>
            <a:noFill/>
            <a:ln w="25400">
              <a:noFill/>
            </a:ln>
          </c:spPr>
        </c:title>
        <c:numFmt formatCode="0.00000" sourceLinked="1"/>
        <c:majorTickMark val="out"/>
        <c:minorTickMark val="none"/>
        <c:tickLblPos val="nextTo"/>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en-US"/>
          </a:p>
        </c:txPr>
        <c:crossAx val="162107776"/>
        <c:crosses val="autoZero"/>
        <c:crossBetween val="midCat"/>
      </c:valAx>
      <c:spPr>
        <a:solidFill>
          <a:srgbClr val="C0C0C0"/>
        </a:solidFill>
        <a:ln w="12700">
          <a:solidFill>
            <a:srgbClr val="808080"/>
          </a:solidFill>
          <a:prstDash val="solid"/>
        </a:ln>
      </c:spPr>
    </c:plotArea>
    <c:legend>
      <c:legendPos val="b"/>
      <c:layout>
        <c:manualLayout>
          <c:xMode val="edge"/>
          <c:yMode val="edge"/>
          <c:x val="0.34424285159741735"/>
          <c:y val="0.92844993417356381"/>
          <c:w val="0.40606117586726359"/>
          <c:h val="5.9625166662473861E-2"/>
        </c:manualLayout>
      </c:layout>
      <c:overlay val="0"/>
      <c:spPr>
        <a:solidFill>
          <a:srgbClr val="FFFFFF"/>
        </a:solidFill>
        <a:ln w="3175">
          <a:solidFill>
            <a:srgbClr val="000000"/>
          </a:solidFill>
          <a:prstDash val="solid"/>
        </a:ln>
      </c:spPr>
      <c:txPr>
        <a:bodyPr/>
        <a:lstStyle/>
        <a:p>
          <a:pPr>
            <a:defRPr sz="86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25" b="0" i="0" u="none" strike="noStrike" baseline="0">
                <a:solidFill>
                  <a:srgbClr val="000000"/>
                </a:solidFill>
                <a:latin typeface="Arial"/>
                <a:ea typeface="Arial"/>
                <a:cs typeface="Arial"/>
              </a:defRPr>
            </a:pPr>
            <a:r>
              <a:rPr lang="en-GB"/>
              <a:t>Cost per KWh for km distance</a:t>
            </a:r>
          </a:p>
        </c:rich>
      </c:tx>
      <c:layout>
        <c:manualLayout>
          <c:xMode val="edge"/>
          <c:yMode val="edge"/>
          <c:x val="0.43422769275242346"/>
          <c:y val="2.8911417322834646E-2"/>
        </c:manualLayout>
      </c:layout>
      <c:overlay val="0"/>
      <c:spPr>
        <a:noFill/>
        <a:ln w="25400">
          <a:noFill/>
        </a:ln>
      </c:spPr>
    </c:title>
    <c:autoTitleDeleted val="0"/>
    <c:plotArea>
      <c:layout>
        <c:manualLayout>
          <c:layoutTarget val="inner"/>
          <c:xMode val="edge"/>
          <c:yMode val="edge"/>
          <c:x val="0.1187740944959472"/>
          <c:y val="0.1615648941806411"/>
          <c:w val="0.8441900694819473"/>
          <c:h val="0.65136162601247938"/>
        </c:manualLayout>
      </c:layout>
      <c:scatterChart>
        <c:scatterStyle val="lineMarker"/>
        <c:varyColors val="0"/>
        <c:ser>
          <c:idx val="0"/>
          <c:order val="0"/>
          <c:tx>
            <c:v>Cost per KWh for 0 distance</c:v>
          </c:tx>
          <c:spPr>
            <a:ln w="12700">
              <a:solidFill>
                <a:srgbClr val="000080"/>
              </a:solidFill>
              <a:prstDash val="solid"/>
            </a:ln>
          </c:spPr>
          <c:marker>
            <c:symbol val="diamond"/>
            <c:size val="5"/>
            <c:spPr>
              <a:solidFill>
                <a:srgbClr val="000080"/>
              </a:solidFill>
              <a:ln>
                <a:solidFill>
                  <a:srgbClr val="000080"/>
                </a:solidFill>
                <a:prstDash val="solid"/>
              </a:ln>
            </c:spPr>
          </c:marker>
          <c:trendline>
            <c:trendlineType val="linear"/>
            <c:dispRSqr val="0"/>
            <c:dispEq val="1"/>
            <c:trendlineLbl>
              <c:numFmt formatCode="General" sourceLinked="0"/>
            </c:trendlineLbl>
          </c:trendline>
          <c:xVal>
            <c:numRef>
              <c:f>'Original Formula'!$F$134:$F$147</c:f>
              <c:numCache>
                <c:formatCode>0</c:formatCode>
                <c:ptCount val="14"/>
                <c:pt idx="0">
                  <c:v>18.905880820079382</c:v>
                </c:pt>
                <c:pt idx="1">
                  <c:v>18.682737268765173</c:v>
                </c:pt>
                <c:pt idx="2">
                  <c:v>18.500415711971218</c:v>
                </c:pt>
                <c:pt idx="3">
                  <c:v>18.143740768032487</c:v>
                </c:pt>
                <c:pt idx="4">
                  <c:v>17.807268531411275</c:v>
                </c:pt>
                <c:pt idx="5">
                  <c:v>17.584124980097062</c:v>
                </c:pt>
                <c:pt idx="6">
                  <c:v>17.296442907645282</c:v>
                </c:pt>
                <c:pt idx="7">
                  <c:v>16.890977799537119</c:v>
                </c:pt>
                <c:pt idx="8">
                  <c:v>16.197830618977175</c:v>
                </c:pt>
                <c:pt idx="9">
                  <c:v>15.504683438417228</c:v>
                </c:pt>
                <c:pt idx="10">
                  <c:v>15.281539887103019</c:v>
                </c:pt>
                <c:pt idx="11">
                  <c:v>14.993857814651237</c:v>
                </c:pt>
                <c:pt idx="12">
                  <c:v>14.588392706543074</c:v>
                </c:pt>
                <c:pt idx="13">
                  <c:v>13.895245525983128</c:v>
                </c:pt>
              </c:numCache>
            </c:numRef>
          </c:xVal>
          <c:yVal>
            <c:numRef>
              <c:f>'Original Formula'!$C$198:$C$211</c:f>
              <c:numCache>
                <c:formatCode>#,##0</c:formatCode>
                <c:ptCount val="14"/>
                <c:pt idx="0">
                  <c:v>-8.6646655568751694</c:v>
                </c:pt>
                <c:pt idx="1">
                  <c:v>-8.4415220055609606</c:v>
                </c:pt>
                <c:pt idx="2">
                  <c:v>-8.2592004487670057</c:v>
                </c:pt>
                <c:pt idx="3">
                  <c:v>-8.032030007324936</c:v>
                </c:pt>
                <c:pt idx="4">
                  <c:v>-7.695557770703723</c:v>
                </c:pt>
                <c:pt idx="5">
                  <c:v>-7.4724142193895133</c:v>
                </c:pt>
                <c:pt idx="6">
                  <c:v>-7.50277365879636</c:v>
                </c:pt>
                <c:pt idx="7">
                  <c:v>-7.0973085506881954</c:v>
                </c:pt>
                <c:pt idx="8">
                  <c:v>-6.5283182986651278</c:v>
                </c:pt>
                <c:pt idx="9">
                  <c:v>-5.8351711181051833</c:v>
                </c:pt>
                <c:pt idx="10">
                  <c:v>-5.6682813242260286</c:v>
                </c:pt>
                <c:pt idx="11">
                  <c:v>-5.3805992517742478</c:v>
                </c:pt>
                <c:pt idx="12">
                  <c:v>-4.9751341436660832</c:v>
                </c:pt>
                <c:pt idx="13">
                  <c:v>-4.4382493031949259</c:v>
                </c:pt>
              </c:numCache>
            </c:numRef>
          </c:yVal>
          <c:smooth val="0"/>
          <c:extLst>
            <c:ext xmlns:c16="http://schemas.microsoft.com/office/drawing/2014/chart" uri="{C3380CC4-5D6E-409C-BE32-E72D297353CC}">
              <c16:uniqueId val="{00000001-5121-4994-BADF-EBF91524A6AC}"/>
            </c:ext>
          </c:extLst>
        </c:ser>
        <c:dLbls>
          <c:showLegendKey val="0"/>
          <c:showVal val="0"/>
          <c:showCatName val="0"/>
          <c:showSerName val="0"/>
          <c:showPercent val="0"/>
          <c:showBubbleSize val="0"/>
        </c:dLbls>
        <c:axId val="162279424"/>
        <c:axId val="162281344"/>
      </c:scatterChart>
      <c:valAx>
        <c:axId val="162279424"/>
        <c:scaling>
          <c:orientation val="minMax"/>
        </c:scaling>
        <c:delete val="0"/>
        <c:axPos val="b"/>
        <c:title>
          <c:tx>
            <c:rich>
              <a:bodyPr/>
              <a:lstStyle/>
              <a:p>
                <a:pPr>
                  <a:defRPr sz="1625" b="1" i="0" u="none" strike="noStrike" baseline="0">
                    <a:solidFill>
                      <a:srgbClr val="000000"/>
                    </a:solidFill>
                    <a:latin typeface="Arial"/>
                    <a:ea typeface="Arial"/>
                    <a:cs typeface="Arial"/>
                  </a:defRPr>
                </a:pPr>
                <a:r>
                  <a:rPr lang="en-GB"/>
                  <a:t>SOQ kWh</a:t>
                </a:r>
              </a:p>
            </c:rich>
          </c:tx>
          <c:layout>
            <c:manualLayout>
              <c:xMode val="edge"/>
              <c:yMode val="edge"/>
              <c:x val="0.47254198982323703"/>
              <c:y val="0.8452395013123360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625" b="0" i="0" u="none" strike="noStrike" baseline="0">
                <a:solidFill>
                  <a:srgbClr val="000000"/>
                </a:solidFill>
                <a:latin typeface="Arial"/>
                <a:ea typeface="Arial"/>
                <a:cs typeface="Arial"/>
              </a:defRPr>
            </a:pPr>
            <a:endParaRPr lang="en-US"/>
          </a:p>
        </c:txPr>
        <c:crossAx val="162281344"/>
        <c:crosses val="autoZero"/>
        <c:crossBetween val="midCat"/>
      </c:valAx>
      <c:valAx>
        <c:axId val="162281344"/>
        <c:scaling>
          <c:orientation val="minMax"/>
        </c:scaling>
        <c:delete val="0"/>
        <c:axPos val="l"/>
        <c:majorGridlines>
          <c:spPr>
            <a:ln w="3175">
              <a:solidFill>
                <a:srgbClr val="000000"/>
              </a:solidFill>
              <a:prstDash val="solid"/>
            </a:ln>
          </c:spPr>
        </c:majorGridlines>
        <c:title>
          <c:tx>
            <c:rich>
              <a:bodyPr/>
              <a:lstStyle/>
              <a:p>
                <a:pPr>
                  <a:defRPr sz="1625" b="1" i="0" u="none" strike="noStrike" baseline="0">
                    <a:solidFill>
                      <a:srgbClr val="000000"/>
                    </a:solidFill>
                    <a:latin typeface="Arial"/>
                    <a:ea typeface="Arial"/>
                    <a:cs typeface="Arial"/>
                  </a:defRPr>
                </a:pPr>
                <a:r>
                  <a:rPr lang="en-GB"/>
                  <a:t>Cost pence per kWh</a:t>
                </a:r>
              </a:p>
            </c:rich>
          </c:tx>
          <c:layout>
            <c:manualLayout>
              <c:xMode val="edge"/>
              <c:yMode val="edge"/>
              <c:x val="2.0434204172538505E-2"/>
              <c:y val="0.306123031496063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625" b="0" i="0" u="none" strike="noStrike" baseline="0">
                <a:solidFill>
                  <a:srgbClr val="000000"/>
                </a:solidFill>
                <a:latin typeface="Arial"/>
                <a:ea typeface="Arial"/>
                <a:cs typeface="Arial"/>
              </a:defRPr>
            </a:pPr>
            <a:endParaRPr lang="en-US"/>
          </a:p>
        </c:txPr>
        <c:crossAx val="162279424"/>
        <c:crosses val="autoZero"/>
        <c:crossBetween val="midCat"/>
      </c:valAx>
      <c:spPr>
        <a:solidFill>
          <a:srgbClr val="C0C0C0"/>
        </a:solidFill>
        <a:ln w="12700">
          <a:solidFill>
            <a:srgbClr val="808080"/>
          </a:solidFill>
          <a:prstDash val="solid"/>
        </a:ln>
      </c:spPr>
    </c:plotArea>
    <c:legend>
      <c:legendPos val="b"/>
      <c:layout>
        <c:manualLayout>
          <c:xMode val="edge"/>
          <c:yMode val="edge"/>
          <c:x val="9.0314599285852726E-2"/>
          <c:y val="0.93027362204724406"/>
          <c:w val="0.86626406367539466"/>
          <c:h val="5.7823162729658817E-2"/>
        </c:manualLayout>
      </c:layout>
      <c:overlay val="0"/>
      <c:spPr>
        <a:solidFill>
          <a:srgbClr val="FFFFFF"/>
        </a:solidFill>
        <a:ln w="3175">
          <a:solidFill>
            <a:srgbClr val="000000"/>
          </a:solidFill>
          <a:prstDash val="solid"/>
        </a:ln>
      </c:spPr>
      <c:txPr>
        <a:bodyPr/>
        <a:lstStyle/>
        <a:p>
          <a:pPr>
            <a:defRPr sz="8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2160184522389246"/>
          <c:y val="2.8911625567762115E-2"/>
        </c:manualLayout>
      </c:layout>
      <c:overlay val="0"/>
      <c:spPr>
        <a:noFill/>
        <a:ln w="25400">
          <a:noFill/>
        </a:ln>
      </c:spPr>
      <c:txPr>
        <a:bodyPr/>
        <a:lstStyle/>
        <a:p>
          <a:pPr>
            <a:defRPr sz="17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953883495145631"/>
          <c:y val="0.16326557727727944"/>
          <c:w val="0.70509708737864074"/>
          <c:h val="0.58843635143686135"/>
        </c:manualLayout>
      </c:layout>
      <c:scatterChart>
        <c:scatterStyle val="lineMarker"/>
        <c:varyColors val="0"/>
        <c:ser>
          <c:idx val="0"/>
          <c:order val="0"/>
          <c:tx>
            <c:v>Cost per KWh for 0 distance</c:v>
          </c:tx>
          <c:spPr>
            <a:ln w="12700">
              <a:solidFill>
                <a:srgbClr val="000080"/>
              </a:solidFill>
              <a:prstDash val="solid"/>
            </a:ln>
          </c:spPr>
          <c:marker>
            <c:symbol val="diamond"/>
            <c:size val="5"/>
            <c:spPr>
              <a:solidFill>
                <a:srgbClr val="000080"/>
              </a:solidFill>
              <a:ln>
                <a:solidFill>
                  <a:srgbClr val="000080"/>
                </a:solidFill>
                <a:prstDash val="solid"/>
              </a:ln>
            </c:spPr>
          </c:marker>
          <c:xVal>
            <c:numRef>
              <c:f>'Original Formula'!$E$134:$E$147</c:f>
              <c:numCache>
                <c:formatCode>#,##0</c:formatCode>
                <c:ptCount val="14"/>
                <c:pt idx="0">
                  <c:v>162450000</c:v>
                </c:pt>
                <c:pt idx="1">
                  <c:v>129960000</c:v>
                </c:pt>
                <c:pt idx="2">
                  <c:v>108300000</c:v>
                </c:pt>
                <c:pt idx="3">
                  <c:v>75810000</c:v>
                </c:pt>
                <c:pt idx="4">
                  <c:v>54150000</c:v>
                </c:pt>
                <c:pt idx="5">
                  <c:v>43320000</c:v>
                </c:pt>
                <c:pt idx="6">
                  <c:v>32490000</c:v>
                </c:pt>
                <c:pt idx="7">
                  <c:v>21660000</c:v>
                </c:pt>
                <c:pt idx="8">
                  <c:v>10830000</c:v>
                </c:pt>
                <c:pt idx="9">
                  <c:v>5415000</c:v>
                </c:pt>
                <c:pt idx="10">
                  <c:v>4332000</c:v>
                </c:pt>
                <c:pt idx="11">
                  <c:v>3249000</c:v>
                </c:pt>
                <c:pt idx="12">
                  <c:v>2166000</c:v>
                </c:pt>
                <c:pt idx="13">
                  <c:v>1083000</c:v>
                </c:pt>
              </c:numCache>
            </c:numRef>
          </c:xVal>
          <c:yVal>
            <c:numRef>
              <c:f>'Original Formula'!$B$175:$B$188</c:f>
              <c:numCache>
                <c:formatCode>0.00000</c:formatCode>
                <c:ptCount val="14"/>
                <c:pt idx="0">
                  <c:v>1.5512337938315239E-3</c:v>
                </c:pt>
                <c:pt idx="1">
                  <c:v>1.7469573819642442E-3</c:v>
                </c:pt>
                <c:pt idx="2">
                  <c:v>1.9796390698050971E-3</c:v>
                </c:pt>
                <c:pt idx="3">
                  <c:v>2.5779634099672892E-3</c:v>
                </c:pt>
                <c:pt idx="4">
                  <c:v>3.3393081064358537E-3</c:v>
                </c:pt>
                <c:pt idx="5">
                  <c:v>3.6562354463453334E-3</c:v>
                </c:pt>
                <c:pt idx="6">
                  <c:v>4.223350942378465E-3</c:v>
                </c:pt>
                <c:pt idx="7">
                  <c:v>6.2329053485847014E-3</c:v>
                </c:pt>
                <c:pt idx="8">
                  <c:v>1.0131614926129478E-2</c:v>
                </c:pt>
                <c:pt idx="9">
                  <c:v>1.2779721846443593E-2</c:v>
                </c:pt>
                <c:pt idx="10">
                  <c:v>1.5974652308054491E-2</c:v>
                </c:pt>
                <c:pt idx="11">
                  <c:v>1.7798242754179433E-2</c:v>
                </c:pt>
                <c:pt idx="12">
                  <c:v>2.6697364131269146E-2</c:v>
                </c:pt>
                <c:pt idx="13">
                  <c:v>4.4933268592518574E-2</c:v>
                </c:pt>
              </c:numCache>
            </c:numRef>
          </c:yVal>
          <c:smooth val="0"/>
          <c:extLst>
            <c:ext xmlns:c16="http://schemas.microsoft.com/office/drawing/2014/chart" uri="{C3380CC4-5D6E-409C-BE32-E72D297353CC}">
              <c16:uniqueId val="{00000000-0FF2-483E-9D09-E72700B6738B}"/>
            </c:ext>
          </c:extLst>
        </c:ser>
        <c:dLbls>
          <c:showLegendKey val="0"/>
          <c:showVal val="0"/>
          <c:showCatName val="0"/>
          <c:showSerName val="0"/>
          <c:showPercent val="0"/>
          <c:showBubbleSize val="0"/>
        </c:dLbls>
        <c:axId val="162311552"/>
        <c:axId val="162334592"/>
      </c:scatterChart>
      <c:valAx>
        <c:axId val="162311552"/>
        <c:scaling>
          <c:orientation val="minMax"/>
        </c:scaling>
        <c:delete val="0"/>
        <c:axPos val="b"/>
        <c:title>
          <c:tx>
            <c:rich>
              <a:bodyPr/>
              <a:lstStyle/>
              <a:p>
                <a:pPr>
                  <a:defRPr sz="1700" b="1" i="0" u="none" strike="noStrike" baseline="0">
                    <a:solidFill>
                      <a:srgbClr val="000000"/>
                    </a:solidFill>
                    <a:latin typeface="Arial"/>
                    <a:ea typeface="Arial"/>
                    <a:cs typeface="Arial"/>
                  </a:defRPr>
                </a:pPr>
                <a:r>
                  <a:rPr lang="en-GB"/>
                  <a:t>SOQ kWh</a:t>
                </a:r>
              </a:p>
            </c:rich>
          </c:tx>
          <c:layout>
            <c:manualLayout>
              <c:xMode val="edge"/>
              <c:yMode val="edge"/>
              <c:x val="0.4781552099376008"/>
              <c:y val="0.8418382133371052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en-US"/>
          </a:p>
        </c:txPr>
        <c:crossAx val="162334592"/>
        <c:crosses val="autoZero"/>
        <c:crossBetween val="midCat"/>
      </c:valAx>
      <c:valAx>
        <c:axId val="162334592"/>
        <c:scaling>
          <c:orientation val="minMax"/>
        </c:scaling>
        <c:delete val="0"/>
        <c:axPos val="l"/>
        <c:majorGridlines>
          <c:spPr>
            <a:ln w="3175">
              <a:solidFill>
                <a:srgbClr val="000000"/>
              </a:solidFill>
              <a:prstDash val="solid"/>
            </a:ln>
          </c:spPr>
        </c:majorGridlines>
        <c:title>
          <c:tx>
            <c:rich>
              <a:bodyPr/>
              <a:lstStyle/>
              <a:p>
                <a:pPr>
                  <a:defRPr sz="1700" b="1" i="0" u="none" strike="noStrike" baseline="0">
                    <a:solidFill>
                      <a:srgbClr val="000000"/>
                    </a:solidFill>
                    <a:latin typeface="Arial"/>
                    <a:ea typeface="Arial"/>
                    <a:cs typeface="Arial"/>
                  </a:defRPr>
                </a:pPr>
                <a:r>
                  <a:rPr lang="en-GB"/>
                  <a:t>Cost pence per kWh</a:t>
                </a:r>
              </a:p>
            </c:rich>
          </c:tx>
          <c:layout>
            <c:manualLayout>
              <c:xMode val="edge"/>
              <c:yMode val="edge"/>
              <c:x val="1.5733570493770926E-2"/>
              <c:y val="0.13508133339619971"/>
            </c:manualLayout>
          </c:layout>
          <c:overlay val="0"/>
          <c:spPr>
            <a:noFill/>
            <a:ln w="25400">
              <a:noFill/>
            </a:ln>
          </c:spPr>
        </c:title>
        <c:numFmt formatCode="0.00000" sourceLinked="1"/>
        <c:majorTickMark val="out"/>
        <c:minorTickMark val="none"/>
        <c:tickLblPos val="nextTo"/>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en-US"/>
          </a:p>
        </c:txPr>
        <c:crossAx val="162311552"/>
        <c:crosses val="autoZero"/>
        <c:crossBetween val="midCat"/>
      </c:valAx>
      <c:spPr>
        <a:solidFill>
          <a:srgbClr val="C0C0C0"/>
        </a:solidFill>
        <a:ln w="12700">
          <a:solidFill>
            <a:srgbClr val="808080"/>
          </a:solidFill>
          <a:prstDash val="solid"/>
        </a:ln>
      </c:spPr>
    </c:plotArea>
    <c:legend>
      <c:legendPos val="b"/>
      <c:layout>
        <c:manualLayout>
          <c:xMode val="edge"/>
          <c:yMode val="edge"/>
          <c:x val="0.34466020259864211"/>
          <c:y val="0.92857309004039168"/>
          <c:w val="0.40655329240869681"/>
          <c:h val="5.952410140349218E-2"/>
        </c:manualLayout>
      </c:layout>
      <c:overlay val="0"/>
      <c:spPr>
        <a:solidFill>
          <a:srgbClr val="FFFFFF"/>
        </a:solidFill>
        <a:ln w="3175">
          <a:solidFill>
            <a:srgbClr val="000000"/>
          </a:solidFill>
          <a:prstDash val="solid"/>
        </a:ln>
      </c:spPr>
      <c:txPr>
        <a:bodyPr/>
        <a:lstStyle/>
        <a:p>
          <a:pPr>
            <a:defRPr sz="86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422788089792119"/>
          <c:y val="2.8911551718685768E-2"/>
        </c:manualLayout>
      </c:layout>
      <c:overlay val="0"/>
      <c:spPr>
        <a:noFill/>
        <a:ln w="25400">
          <a:noFill/>
        </a:ln>
      </c:spPr>
      <c:txPr>
        <a:bodyPr/>
        <a:lstStyle/>
        <a:p>
          <a:pPr>
            <a:defRPr sz="16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877407710229637"/>
          <c:y val="0.16835263011901955"/>
          <c:w val="0.8441900694819473"/>
          <c:h val="0.65136162601247938"/>
        </c:manualLayout>
      </c:layout>
      <c:scatterChart>
        <c:scatterStyle val="lineMarker"/>
        <c:varyColors val="0"/>
        <c:ser>
          <c:idx val="0"/>
          <c:order val="0"/>
          <c:tx>
            <c:v>Cost per KWh for 0 distance</c:v>
          </c:tx>
          <c:spPr>
            <a:ln w="12700">
              <a:solidFill>
                <a:srgbClr val="000080"/>
              </a:solidFill>
              <a:prstDash val="solid"/>
            </a:ln>
          </c:spPr>
          <c:marker>
            <c:symbol val="diamond"/>
            <c:size val="5"/>
            <c:spPr>
              <a:solidFill>
                <a:srgbClr val="000080"/>
              </a:solidFill>
              <a:ln>
                <a:solidFill>
                  <a:srgbClr val="000080"/>
                </a:solidFill>
                <a:prstDash val="solid"/>
              </a:ln>
            </c:spPr>
          </c:marker>
          <c:trendline>
            <c:trendlineType val="linear"/>
            <c:dispRSqr val="0"/>
            <c:dispEq val="1"/>
            <c:trendlineLbl>
              <c:numFmt formatCode="General" sourceLinked="0"/>
            </c:trendlineLbl>
          </c:trendline>
          <c:xVal>
            <c:numRef>
              <c:f>'Original Formula'!$F$134:$F$147</c:f>
              <c:numCache>
                <c:formatCode>0</c:formatCode>
                <c:ptCount val="14"/>
                <c:pt idx="0">
                  <c:v>18.905880820079382</c:v>
                </c:pt>
                <c:pt idx="1">
                  <c:v>18.682737268765173</c:v>
                </c:pt>
                <c:pt idx="2">
                  <c:v>18.500415711971218</c:v>
                </c:pt>
                <c:pt idx="3">
                  <c:v>18.143740768032487</c:v>
                </c:pt>
                <c:pt idx="4">
                  <c:v>17.807268531411275</c:v>
                </c:pt>
                <c:pt idx="5">
                  <c:v>17.584124980097062</c:v>
                </c:pt>
                <c:pt idx="6">
                  <c:v>17.296442907645282</c:v>
                </c:pt>
                <c:pt idx="7">
                  <c:v>16.890977799537119</c:v>
                </c:pt>
                <c:pt idx="8">
                  <c:v>16.197830618977175</c:v>
                </c:pt>
                <c:pt idx="9">
                  <c:v>15.504683438417228</c:v>
                </c:pt>
                <c:pt idx="10">
                  <c:v>15.281539887103019</c:v>
                </c:pt>
                <c:pt idx="11">
                  <c:v>14.993857814651237</c:v>
                </c:pt>
                <c:pt idx="12">
                  <c:v>14.588392706543074</c:v>
                </c:pt>
                <c:pt idx="13">
                  <c:v>13.895245525983128</c:v>
                </c:pt>
              </c:numCache>
            </c:numRef>
          </c:xVal>
          <c:yVal>
            <c:numRef>
              <c:f>'Original Formula'!$C$175:$C$188</c:f>
              <c:numCache>
                <c:formatCode>#,##0</c:formatCode>
                <c:ptCount val="14"/>
                <c:pt idx="0">
                  <c:v>-6.468704668667459</c:v>
                </c:pt>
                <c:pt idx="1">
                  <c:v>-6.3498796431110405</c:v>
                </c:pt>
                <c:pt idx="2">
                  <c:v>-6.2248407388693892</c:v>
                </c:pt>
                <c:pt idx="3">
                  <c:v>-5.9607555677515567</c:v>
                </c:pt>
                <c:pt idx="4">
                  <c:v>-5.7019916472145526</c:v>
                </c:pt>
                <c:pt idx="5">
                  <c:v>-5.6113212274787765</c:v>
                </c:pt>
                <c:pt idx="6">
                  <c:v>-5.4671264038597984</c:v>
                </c:pt>
                <c:pt idx="7">
                  <c:v>-5.0779127068018175</c:v>
                </c:pt>
                <c:pt idx="8">
                  <c:v>-4.5920945532766018</c:v>
                </c:pt>
                <c:pt idx="9">
                  <c:v>-4.3598955950236267</c:v>
                </c:pt>
                <c:pt idx="10">
                  <c:v>-4.136752043709417</c:v>
                </c:pt>
                <c:pt idx="11">
                  <c:v>-4.0286555482327158</c:v>
                </c:pt>
                <c:pt idx="12">
                  <c:v>-3.6231904401245516</c:v>
                </c:pt>
                <c:pt idx="13">
                  <c:v>-3.1025768099923976</c:v>
                </c:pt>
              </c:numCache>
            </c:numRef>
          </c:yVal>
          <c:smooth val="0"/>
          <c:extLst>
            <c:ext xmlns:c16="http://schemas.microsoft.com/office/drawing/2014/chart" uri="{C3380CC4-5D6E-409C-BE32-E72D297353CC}">
              <c16:uniqueId val="{00000001-D26E-4D3F-93D1-74B8BA89782A}"/>
            </c:ext>
          </c:extLst>
        </c:ser>
        <c:dLbls>
          <c:showLegendKey val="0"/>
          <c:showVal val="0"/>
          <c:showCatName val="0"/>
          <c:showSerName val="0"/>
          <c:showPercent val="0"/>
          <c:showBubbleSize val="0"/>
        </c:dLbls>
        <c:axId val="162368512"/>
        <c:axId val="162370688"/>
      </c:scatterChart>
      <c:valAx>
        <c:axId val="162368512"/>
        <c:scaling>
          <c:orientation val="minMax"/>
        </c:scaling>
        <c:delete val="0"/>
        <c:axPos val="b"/>
        <c:title>
          <c:tx>
            <c:rich>
              <a:bodyPr/>
              <a:lstStyle/>
              <a:p>
                <a:pPr>
                  <a:defRPr sz="1625" b="1" i="0" u="none" strike="noStrike" baseline="0">
                    <a:solidFill>
                      <a:srgbClr val="000000"/>
                    </a:solidFill>
                    <a:latin typeface="Arial"/>
                    <a:ea typeface="Arial"/>
                    <a:cs typeface="Arial"/>
                  </a:defRPr>
                </a:pPr>
                <a:r>
                  <a:rPr lang="en-GB"/>
                  <a:t>SOQ kWh</a:t>
                </a:r>
              </a:p>
            </c:rich>
          </c:tx>
          <c:layout>
            <c:manualLayout>
              <c:xMode val="edge"/>
              <c:yMode val="edge"/>
              <c:x val="0.47254201836595616"/>
              <c:y val="0.845239540840527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625" b="0" i="0" u="none" strike="noStrike" baseline="0">
                <a:solidFill>
                  <a:srgbClr val="000000"/>
                </a:solidFill>
                <a:latin typeface="Arial"/>
                <a:ea typeface="Arial"/>
                <a:cs typeface="Arial"/>
              </a:defRPr>
            </a:pPr>
            <a:endParaRPr lang="en-US"/>
          </a:p>
        </c:txPr>
        <c:crossAx val="162370688"/>
        <c:crosses val="autoZero"/>
        <c:crossBetween val="midCat"/>
      </c:valAx>
      <c:valAx>
        <c:axId val="162370688"/>
        <c:scaling>
          <c:orientation val="minMax"/>
        </c:scaling>
        <c:delete val="0"/>
        <c:axPos val="l"/>
        <c:majorGridlines>
          <c:spPr>
            <a:ln w="3175">
              <a:solidFill>
                <a:srgbClr val="000000"/>
              </a:solidFill>
              <a:prstDash val="solid"/>
            </a:ln>
          </c:spPr>
        </c:majorGridlines>
        <c:title>
          <c:tx>
            <c:rich>
              <a:bodyPr/>
              <a:lstStyle/>
              <a:p>
                <a:pPr>
                  <a:defRPr sz="1625" b="1" i="0" u="none" strike="noStrike" baseline="0">
                    <a:solidFill>
                      <a:srgbClr val="000000"/>
                    </a:solidFill>
                    <a:latin typeface="Arial"/>
                    <a:ea typeface="Arial"/>
                    <a:cs typeface="Arial"/>
                  </a:defRPr>
                </a:pPr>
                <a:r>
                  <a:rPr lang="en-GB"/>
                  <a:t>Cost pence per kWh</a:t>
                </a:r>
              </a:p>
            </c:rich>
          </c:tx>
          <c:layout>
            <c:manualLayout>
              <c:xMode val="edge"/>
              <c:yMode val="edge"/>
              <c:x val="1.6618289037777734E-2"/>
              <c:y val="0.2213524966005755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625" b="0" i="0" u="none" strike="noStrike" baseline="0">
                <a:solidFill>
                  <a:srgbClr val="000000"/>
                </a:solidFill>
                <a:latin typeface="Arial"/>
                <a:ea typeface="Arial"/>
                <a:cs typeface="Arial"/>
              </a:defRPr>
            </a:pPr>
            <a:endParaRPr lang="en-US"/>
          </a:p>
        </c:txPr>
        <c:crossAx val="162368512"/>
        <c:crosses val="autoZero"/>
        <c:crossBetween val="midCat"/>
      </c:valAx>
      <c:spPr>
        <a:solidFill>
          <a:srgbClr val="C0C0C0"/>
        </a:solidFill>
        <a:ln w="12700">
          <a:solidFill>
            <a:srgbClr val="808080"/>
          </a:solidFill>
          <a:prstDash val="solid"/>
        </a:ln>
      </c:spPr>
    </c:plotArea>
    <c:legend>
      <c:legendPos val="b"/>
      <c:layout>
        <c:manualLayout>
          <c:xMode val="edge"/>
          <c:yMode val="edge"/>
          <c:x val="4.2145618687124263E-2"/>
          <c:y val="0.93027385131075491"/>
          <c:w val="0.93542065596556201"/>
          <c:h val="5.7823419662903608E-2"/>
        </c:manualLayout>
      </c:layout>
      <c:overlay val="0"/>
      <c:spPr>
        <a:solidFill>
          <a:srgbClr val="FFFFFF"/>
        </a:solidFill>
        <a:ln w="3175">
          <a:solidFill>
            <a:srgbClr val="000000"/>
          </a:solidFill>
          <a:prstDash val="solid"/>
        </a:ln>
      </c:spPr>
      <c:txPr>
        <a:bodyPr/>
        <a:lstStyle/>
        <a:p>
          <a:pPr>
            <a:defRPr sz="8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2242475678564131"/>
          <c:y val="2.8960751999023378E-2"/>
        </c:manualLayout>
      </c:layout>
      <c:overlay val="0"/>
      <c:spPr>
        <a:noFill/>
        <a:ln w="25400">
          <a:noFill/>
        </a:ln>
      </c:spPr>
      <c:txPr>
        <a:bodyPr/>
        <a:lstStyle/>
        <a:p>
          <a:pPr>
            <a:defRPr sz="17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9515174615500255"/>
          <c:y val="0.1635434412265758"/>
          <c:w val="0.70545538051063039"/>
          <c:h val="0.58773424190800683"/>
        </c:manualLayout>
      </c:layout>
      <c:scatterChart>
        <c:scatterStyle val="lineMarker"/>
        <c:varyColors val="0"/>
        <c:ser>
          <c:idx val="0"/>
          <c:order val="0"/>
          <c:tx>
            <c:v>Cost per KWh for 0 distance</c:v>
          </c:tx>
          <c:spPr>
            <a:ln w="12700">
              <a:solidFill>
                <a:srgbClr val="000080"/>
              </a:solidFill>
              <a:prstDash val="solid"/>
            </a:ln>
          </c:spPr>
          <c:marker>
            <c:symbol val="diamond"/>
            <c:size val="5"/>
            <c:spPr>
              <a:solidFill>
                <a:srgbClr val="000080"/>
              </a:solidFill>
              <a:ln>
                <a:solidFill>
                  <a:srgbClr val="000080"/>
                </a:solidFill>
                <a:prstDash val="solid"/>
              </a:ln>
            </c:spPr>
          </c:marker>
          <c:xVal>
            <c:numRef>
              <c:f>'NTS GCD11 Option Two'!$D$191:$D$209</c:f>
              <c:numCache>
                <c:formatCode>#,##0</c:formatCode>
                <c:ptCount val="19"/>
                <c:pt idx="0">
                  <c:v>649800000</c:v>
                </c:pt>
                <c:pt idx="1">
                  <c:v>541500000</c:v>
                </c:pt>
                <c:pt idx="2">
                  <c:v>433200000</c:v>
                </c:pt>
                <c:pt idx="3">
                  <c:v>324900000</c:v>
                </c:pt>
                <c:pt idx="4">
                  <c:v>216600000</c:v>
                </c:pt>
                <c:pt idx="5">
                  <c:v>162450000</c:v>
                </c:pt>
                <c:pt idx="6">
                  <c:v>129960000</c:v>
                </c:pt>
                <c:pt idx="7">
                  <c:v>108300000</c:v>
                </c:pt>
                <c:pt idx="8">
                  <c:v>75810000</c:v>
                </c:pt>
                <c:pt idx="9">
                  <c:v>54150000</c:v>
                </c:pt>
                <c:pt idx="10">
                  <c:v>43320000</c:v>
                </c:pt>
                <c:pt idx="11">
                  <c:v>32490000</c:v>
                </c:pt>
                <c:pt idx="12">
                  <c:v>21660000</c:v>
                </c:pt>
                <c:pt idx="13">
                  <c:v>10830000</c:v>
                </c:pt>
                <c:pt idx="14">
                  <c:v>5415000</c:v>
                </c:pt>
                <c:pt idx="15">
                  <c:v>4332000</c:v>
                </c:pt>
                <c:pt idx="16">
                  <c:v>3249000</c:v>
                </c:pt>
                <c:pt idx="17">
                  <c:v>2166000</c:v>
                </c:pt>
                <c:pt idx="18">
                  <c:v>1083000</c:v>
                </c:pt>
              </c:numCache>
            </c:numRef>
          </c:xVal>
          <c:yVal>
            <c:numRef>
              <c:f>'NTS GCD11 Option Two'!$B$271:$B$289</c:f>
              <c:numCache>
                <c:formatCode>0.00000</c:formatCode>
                <c:ptCount val="19"/>
                <c:pt idx="0">
                  <c:v>2.7257487332236851E-4</c:v>
                </c:pt>
                <c:pt idx="1">
                  <c:v>3.2708984798684212E-4</c:v>
                </c:pt>
                <c:pt idx="2">
                  <c:v>4.0886230998355279E-4</c:v>
                </c:pt>
                <c:pt idx="3">
                  <c:v>5.4514974664473701E-4</c:v>
                </c:pt>
                <c:pt idx="4">
                  <c:v>3.2851861468136898E-4</c:v>
                </c:pt>
                <c:pt idx="5">
                  <c:v>4.3802481957515879E-4</c:v>
                </c:pt>
                <c:pt idx="6">
                  <c:v>5.4753102446894843E-4</c:v>
                </c:pt>
                <c:pt idx="7">
                  <c:v>6.5703722936273818E-4</c:v>
                </c:pt>
                <c:pt idx="8">
                  <c:v>8.1780176291987663E-4</c:v>
                </c:pt>
                <c:pt idx="9">
                  <c:v>1.144922468087827E-3</c:v>
                </c:pt>
                <c:pt idx="10">
                  <c:v>1.4311530851097837E-3</c:v>
                </c:pt>
                <c:pt idx="11">
                  <c:v>1.3527261781230251E-3</c:v>
                </c:pt>
                <c:pt idx="12">
                  <c:v>2.0290892671845375E-3</c:v>
                </c:pt>
                <c:pt idx="13">
                  <c:v>3.5385378851644318E-3</c:v>
                </c:pt>
                <c:pt idx="14">
                  <c:v>7.0770757703288618E-3</c:v>
                </c:pt>
                <c:pt idx="15">
                  <c:v>8.308785420630415E-3</c:v>
                </c:pt>
                <c:pt idx="16">
                  <c:v>1.1078380560840553E-2</c:v>
                </c:pt>
                <c:pt idx="17">
                  <c:v>1.6617570841260827E-2</c:v>
                </c:pt>
                <c:pt idx="18">
                  <c:v>2.7859548759715011E-2</c:v>
                </c:pt>
              </c:numCache>
            </c:numRef>
          </c:yVal>
          <c:smooth val="0"/>
          <c:extLst>
            <c:ext xmlns:c16="http://schemas.microsoft.com/office/drawing/2014/chart" uri="{C3380CC4-5D6E-409C-BE32-E72D297353CC}">
              <c16:uniqueId val="{00000000-35EC-459C-931D-815C48E3181E}"/>
            </c:ext>
          </c:extLst>
        </c:ser>
        <c:dLbls>
          <c:showLegendKey val="0"/>
          <c:showVal val="0"/>
          <c:showCatName val="0"/>
          <c:showSerName val="0"/>
          <c:showPercent val="0"/>
          <c:showBubbleSize val="0"/>
        </c:dLbls>
        <c:axId val="161438720"/>
        <c:axId val="161441280"/>
      </c:scatterChart>
      <c:valAx>
        <c:axId val="161438720"/>
        <c:scaling>
          <c:orientation val="minMax"/>
        </c:scaling>
        <c:delete val="0"/>
        <c:axPos val="b"/>
        <c:title>
          <c:tx>
            <c:rich>
              <a:bodyPr/>
              <a:lstStyle/>
              <a:p>
                <a:pPr>
                  <a:defRPr sz="1700" b="1" i="0" u="none" strike="noStrike" baseline="0">
                    <a:solidFill>
                      <a:srgbClr val="000000"/>
                    </a:solidFill>
                    <a:latin typeface="Arial"/>
                    <a:ea typeface="Arial"/>
                    <a:cs typeface="Arial"/>
                  </a:defRPr>
                </a:pPr>
                <a:r>
                  <a:rPr lang="en-GB"/>
                  <a:t>SOQ kWh</a:t>
                </a:r>
              </a:p>
            </c:rich>
          </c:tx>
          <c:layout>
            <c:manualLayout>
              <c:xMode val="edge"/>
              <c:yMode val="edge"/>
              <c:x val="0.47878831313750453"/>
              <c:y val="0.841567234328267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en-US"/>
          </a:p>
        </c:txPr>
        <c:crossAx val="161441280"/>
        <c:crosses val="autoZero"/>
        <c:crossBetween val="midCat"/>
      </c:valAx>
      <c:valAx>
        <c:axId val="161441280"/>
        <c:scaling>
          <c:orientation val="minMax"/>
        </c:scaling>
        <c:delete val="0"/>
        <c:axPos val="l"/>
        <c:majorGridlines>
          <c:spPr>
            <a:ln w="3175">
              <a:solidFill>
                <a:srgbClr val="000000"/>
              </a:solidFill>
              <a:prstDash val="solid"/>
            </a:ln>
          </c:spPr>
        </c:majorGridlines>
        <c:title>
          <c:tx>
            <c:rich>
              <a:bodyPr/>
              <a:lstStyle/>
              <a:p>
                <a:pPr>
                  <a:defRPr sz="1700" b="1" i="0" u="none" strike="noStrike" baseline="0">
                    <a:solidFill>
                      <a:srgbClr val="000000"/>
                    </a:solidFill>
                    <a:latin typeface="Arial"/>
                    <a:ea typeface="Arial"/>
                    <a:cs typeface="Arial"/>
                  </a:defRPr>
                </a:pPr>
                <a:r>
                  <a:rPr lang="en-GB"/>
                  <a:t>Cost pence per kWh</a:t>
                </a:r>
              </a:p>
            </c:rich>
          </c:tx>
          <c:layout>
            <c:manualLayout>
              <c:xMode val="edge"/>
              <c:yMode val="edge"/>
              <c:x val="1.9393905103179468E-2"/>
              <c:y val="0.26064725630226454"/>
            </c:manualLayout>
          </c:layout>
          <c:overlay val="0"/>
          <c:spPr>
            <a:noFill/>
            <a:ln w="25400">
              <a:noFill/>
            </a:ln>
          </c:spPr>
        </c:title>
        <c:numFmt formatCode="0.00000" sourceLinked="1"/>
        <c:majorTickMark val="out"/>
        <c:minorTickMark val="none"/>
        <c:tickLblPos val="nextTo"/>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en-US"/>
          </a:p>
        </c:txPr>
        <c:crossAx val="161438720"/>
        <c:crosses val="autoZero"/>
        <c:crossBetween val="midCat"/>
      </c:valAx>
      <c:spPr>
        <a:solidFill>
          <a:srgbClr val="C0C0C0"/>
        </a:solidFill>
        <a:ln w="12700">
          <a:solidFill>
            <a:srgbClr val="808080"/>
          </a:solidFill>
          <a:prstDash val="solid"/>
        </a:ln>
      </c:spPr>
    </c:plotArea>
    <c:legend>
      <c:legendPos val="b"/>
      <c:layout>
        <c:manualLayout>
          <c:xMode val="edge"/>
          <c:yMode val="edge"/>
          <c:x val="0.34424279001053015"/>
          <c:y val="0.92844973448086443"/>
          <c:w val="0.40606120043377814"/>
          <c:h val="5.9625221265946382E-2"/>
        </c:manualLayout>
      </c:layout>
      <c:overlay val="0"/>
      <c:spPr>
        <a:solidFill>
          <a:srgbClr val="FFFFFF"/>
        </a:solidFill>
        <a:ln w="3175">
          <a:solidFill>
            <a:srgbClr val="000000"/>
          </a:solidFill>
          <a:prstDash val="solid"/>
        </a:ln>
      </c:spPr>
      <c:txPr>
        <a:bodyPr/>
        <a:lstStyle/>
        <a:p>
          <a:pPr>
            <a:defRPr sz="86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422788497591647"/>
          <c:y val="2.8911603939415831E-2"/>
        </c:manualLayout>
      </c:layout>
      <c:overlay val="0"/>
      <c:spPr>
        <a:noFill/>
        <a:ln w="25400">
          <a:noFill/>
        </a:ln>
      </c:spPr>
      <c:txPr>
        <a:bodyPr/>
        <a:lstStyle/>
        <a:p>
          <a:pPr>
            <a:defRPr sz="16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87740944959472"/>
          <c:y val="0.1615648941806411"/>
          <c:w val="0.8441900694819473"/>
          <c:h val="0.65136162601247938"/>
        </c:manualLayout>
      </c:layout>
      <c:scatterChart>
        <c:scatterStyle val="lineMarker"/>
        <c:varyColors val="0"/>
        <c:ser>
          <c:idx val="0"/>
          <c:order val="0"/>
          <c:tx>
            <c:v>Cost per KWh for 0 distance</c:v>
          </c:tx>
          <c:spPr>
            <a:ln w="12700">
              <a:solidFill>
                <a:srgbClr val="000080"/>
              </a:solidFill>
              <a:prstDash val="solid"/>
            </a:ln>
          </c:spPr>
          <c:marker>
            <c:symbol val="diamond"/>
            <c:size val="5"/>
            <c:spPr>
              <a:solidFill>
                <a:srgbClr val="000080"/>
              </a:solidFill>
              <a:ln>
                <a:solidFill>
                  <a:srgbClr val="000080"/>
                </a:solidFill>
                <a:prstDash val="solid"/>
              </a:ln>
            </c:spPr>
          </c:marker>
          <c:trendline>
            <c:trendlineType val="linear"/>
            <c:dispRSqr val="0"/>
            <c:dispEq val="1"/>
            <c:trendlineLbl>
              <c:numFmt formatCode="General" sourceLinked="0"/>
              <c:txPr>
                <a:bodyPr/>
                <a:lstStyle/>
                <a:p>
                  <a:pPr>
                    <a:defRPr sz="1625" b="0" i="0" u="none" strike="noStrike" baseline="0">
                      <a:solidFill>
                        <a:srgbClr val="000000"/>
                      </a:solidFill>
                      <a:latin typeface="Arial"/>
                      <a:ea typeface="Arial"/>
                      <a:cs typeface="Arial"/>
                    </a:defRPr>
                  </a:pPr>
                  <a:endParaRPr lang="en-US"/>
                </a:p>
              </c:txPr>
            </c:trendlineLbl>
          </c:trendline>
          <c:xVal>
            <c:numRef>
              <c:f>'NTS GCD11 Option Two'!$E$191:$E$209</c:f>
              <c:numCache>
                <c:formatCode>0</c:formatCode>
                <c:ptCount val="19"/>
                <c:pt idx="0">
                  <c:v>20.292175181199273</c:v>
                </c:pt>
                <c:pt idx="1">
                  <c:v>20.109853624405318</c:v>
                </c:pt>
                <c:pt idx="2">
                  <c:v>19.886710073091109</c:v>
                </c:pt>
                <c:pt idx="3">
                  <c:v>19.599028000639329</c:v>
                </c:pt>
                <c:pt idx="4">
                  <c:v>19.193562892531165</c:v>
                </c:pt>
                <c:pt idx="5">
                  <c:v>18.905880820079382</c:v>
                </c:pt>
                <c:pt idx="6">
                  <c:v>18.682737268765173</c:v>
                </c:pt>
                <c:pt idx="7">
                  <c:v>18.500415711971218</c:v>
                </c:pt>
                <c:pt idx="8">
                  <c:v>18.143740768032487</c:v>
                </c:pt>
                <c:pt idx="9">
                  <c:v>17.807268531411275</c:v>
                </c:pt>
                <c:pt idx="10">
                  <c:v>17.584124980097062</c:v>
                </c:pt>
                <c:pt idx="11">
                  <c:v>17.296442907645282</c:v>
                </c:pt>
                <c:pt idx="12">
                  <c:v>16.890977799537119</c:v>
                </c:pt>
                <c:pt idx="13">
                  <c:v>16.197830618977175</c:v>
                </c:pt>
                <c:pt idx="14">
                  <c:v>15.504683438417228</c:v>
                </c:pt>
                <c:pt idx="15">
                  <c:v>15.281539887103019</c:v>
                </c:pt>
                <c:pt idx="16">
                  <c:v>14.993857814651237</c:v>
                </c:pt>
                <c:pt idx="17">
                  <c:v>14.588392706543074</c:v>
                </c:pt>
                <c:pt idx="18">
                  <c:v>13.895245525983128</c:v>
                </c:pt>
              </c:numCache>
            </c:numRef>
          </c:xVal>
          <c:yVal>
            <c:numRef>
              <c:f>'NTS GCD11 Option Two'!$C$271:$C$289</c:f>
              <c:numCache>
                <c:formatCode>#,##0</c:formatCode>
                <c:ptCount val="19"/>
                <c:pt idx="0">
                  <c:v>-8.2075972171160672</c:v>
                </c:pt>
                <c:pt idx="1">
                  <c:v>-8.025275660322114</c:v>
                </c:pt>
                <c:pt idx="2">
                  <c:v>-7.8021321090079034</c:v>
                </c:pt>
                <c:pt idx="3">
                  <c:v>-7.5144500365561226</c:v>
                </c:pt>
                <c:pt idx="4">
                  <c:v>-8.02091705594834</c:v>
                </c:pt>
                <c:pt idx="5">
                  <c:v>-7.7332349834965584</c:v>
                </c:pt>
                <c:pt idx="6">
                  <c:v>-7.5100914321823486</c:v>
                </c:pt>
                <c:pt idx="7">
                  <c:v>-7.3277698753883937</c:v>
                </c:pt>
                <c:pt idx="8">
                  <c:v>-7.1088905943502194</c:v>
                </c:pt>
                <c:pt idx="9">
                  <c:v>-6.7724183577290074</c:v>
                </c:pt>
                <c:pt idx="10">
                  <c:v>-6.5492748064147976</c:v>
                </c:pt>
                <c:pt idx="11">
                  <c:v>-6.6056333315591367</c:v>
                </c:pt>
                <c:pt idx="12">
                  <c:v>-6.2001682234509721</c:v>
                </c:pt>
                <c:pt idx="13">
                  <c:v>-5.6440416639452202</c:v>
                </c:pt>
                <c:pt idx="14">
                  <c:v>-4.9508944833852757</c:v>
                </c:pt>
                <c:pt idx="15">
                  <c:v>-4.7904418395659167</c:v>
                </c:pt>
                <c:pt idx="16">
                  <c:v>-4.5027597671141359</c:v>
                </c:pt>
                <c:pt idx="17">
                  <c:v>-4.0972946590059722</c:v>
                </c:pt>
                <c:pt idx="18">
                  <c:v>-3.5805795074696496</c:v>
                </c:pt>
              </c:numCache>
            </c:numRef>
          </c:yVal>
          <c:smooth val="0"/>
          <c:extLst>
            <c:ext xmlns:c16="http://schemas.microsoft.com/office/drawing/2014/chart" uri="{C3380CC4-5D6E-409C-BE32-E72D297353CC}">
              <c16:uniqueId val="{00000001-EA87-45ED-98E1-D8DE0B379485}"/>
            </c:ext>
          </c:extLst>
        </c:ser>
        <c:dLbls>
          <c:showLegendKey val="0"/>
          <c:showVal val="0"/>
          <c:showCatName val="0"/>
          <c:showSerName val="0"/>
          <c:showPercent val="0"/>
          <c:showBubbleSize val="0"/>
        </c:dLbls>
        <c:axId val="161452800"/>
        <c:axId val="161454720"/>
      </c:scatterChart>
      <c:valAx>
        <c:axId val="161452800"/>
        <c:scaling>
          <c:orientation val="minMax"/>
        </c:scaling>
        <c:delete val="0"/>
        <c:axPos val="b"/>
        <c:title>
          <c:tx>
            <c:rich>
              <a:bodyPr/>
              <a:lstStyle/>
              <a:p>
                <a:pPr>
                  <a:defRPr sz="1625" b="1" i="0" u="none" strike="noStrike" baseline="0">
                    <a:solidFill>
                      <a:srgbClr val="000000"/>
                    </a:solidFill>
                    <a:latin typeface="Arial"/>
                    <a:ea typeface="Arial"/>
                    <a:cs typeface="Arial"/>
                  </a:defRPr>
                </a:pPr>
                <a:r>
                  <a:rPr lang="en-GB"/>
                  <a:t>SOQ kWh</a:t>
                </a:r>
              </a:p>
            </c:rich>
          </c:tx>
          <c:layout>
            <c:manualLayout>
              <c:xMode val="edge"/>
              <c:yMode val="edge"/>
              <c:x val="0.47254203801447903"/>
              <c:y val="0.845239471212887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625" b="0" i="0" u="none" strike="noStrike" baseline="0">
                <a:solidFill>
                  <a:srgbClr val="000000"/>
                </a:solidFill>
                <a:latin typeface="Arial"/>
                <a:ea typeface="Arial"/>
                <a:cs typeface="Arial"/>
              </a:defRPr>
            </a:pPr>
            <a:endParaRPr lang="en-US"/>
          </a:p>
        </c:txPr>
        <c:crossAx val="161454720"/>
        <c:crosses val="autoZero"/>
        <c:crossBetween val="midCat"/>
      </c:valAx>
      <c:valAx>
        <c:axId val="161454720"/>
        <c:scaling>
          <c:orientation val="minMax"/>
        </c:scaling>
        <c:delete val="0"/>
        <c:axPos val="l"/>
        <c:majorGridlines>
          <c:spPr>
            <a:ln w="3175">
              <a:solidFill>
                <a:srgbClr val="000000"/>
              </a:solidFill>
              <a:prstDash val="solid"/>
            </a:ln>
          </c:spPr>
        </c:majorGridlines>
        <c:title>
          <c:tx>
            <c:rich>
              <a:bodyPr/>
              <a:lstStyle/>
              <a:p>
                <a:pPr>
                  <a:defRPr sz="1625" b="1" i="0" u="none" strike="noStrike" baseline="0">
                    <a:solidFill>
                      <a:srgbClr val="000000"/>
                    </a:solidFill>
                    <a:latin typeface="Arial"/>
                    <a:ea typeface="Arial"/>
                    <a:cs typeface="Arial"/>
                  </a:defRPr>
                </a:pPr>
                <a:r>
                  <a:rPr lang="en-GB"/>
                  <a:t>Cost pence per kWh</a:t>
                </a:r>
              </a:p>
            </c:rich>
          </c:tx>
          <c:layout>
            <c:manualLayout>
              <c:xMode val="edge"/>
              <c:yMode val="edge"/>
              <c:x val="2.0434368780825472E-2"/>
              <c:y val="0.3061229502275518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625" b="0" i="0" u="none" strike="noStrike" baseline="0">
                <a:solidFill>
                  <a:srgbClr val="000000"/>
                </a:solidFill>
                <a:latin typeface="Arial"/>
                <a:ea typeface="Arial"/>
                <a:cs typeface="Arial"/>
              </a:defRPr>
            </a:pPr>
            <a:endParaRPr lang="en-US"/>
          </a:p>
        </c:txPr>
        <c:crossAx val="161452800"/>
        <c:crosses val="autoZero"/>
        <c:crossBetween val="midCat"/>
      </c:valAx>
      <c:spPr>
        <a:solidFill>
          <a:srgbClr val="C0C0C0"/>
        </a:solidFill>
        <a:ln w="12700">
          <a:solidFill>
            <a:srgbClr val="808080"/>
          </a:solidFill>
          <a:prstDash val="solid"/>
        </a:ln>
      </c:spPr>
    </c:plotArea>
    <c:legend>
      <c:legendPos val="b"/>
      <c:layout>
        <c:manualLayout>
          <c:xMode val="edge"/>
          <c:yMode val="edge"/>
          <c:x val="4.2145597184967264E-2"/>
          <c:y val="0.93027378458426646"/>
          <c:w val="0.91443295549594761"/>
          <c:h val="5.7823207878831662E-2"/>
        </c:manualLayout>
      </c:layout>
      <c:overlay val="0"/>
      <c:spPr>
        <a:solidFill>
          <a:srgbClr val="FFFFFF"/>
        </a:solidFill>
        <a:ln w="3175">
          <a:solidFill>
            <a:srgbClr val="000000"/>
          </a:solidFill>
          <a:prstDash val="solid"/>
        </a:ln>
      </c:spPr>
      <c:txPr>
        <a:bodyPr/>
        <a:lstStyle/>
        <a:p>
          <a:pPr>
            <a:defRPr sz="8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2160181433631474"/>
          <c:y val="2.8911547346904216E-2"/>
        </c:manualLayout>
      </c:layout>
      <c:overlay val="0"/>
      <c:spPr>
        <a:noFill/>
        <a:ln w="25400">
          <a:noFill/>
        </a:ln>
      </c:spPr>
      <c:txPr>
        <a:bodyPr/>
        <a:lstStyle/>
        <a:p>
          <a:pPr>
            <a:defRPr sz="17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953883495145631"/>
          <c:y val="0.16326557727727944"/>
          <c:w val="0.70509708737864074"/>
          <c:h val="0.58843635143686135"/>
        </c:manualLayout>
      </c:layout>
      <c:scatterChart>
        <c:scatterStyle val="lineMarker"/>
        <c:varyColors val="0"/>
        <c:ser>
          <c:idx val="0"/>
          <c:order val="0"/>
          <c:tx>
            <c:v>Cost per KWh for 0 distance</c:v>
          </c:tx>
          <c:spPr>
            <a:ln w="12700">
              <a:solidFill>
                <a:srgbClr val="000080"/>
              </a:solidFill>
              <a:prstDash val="solid"/>
            </a:ln>
          </c:spPr>
          <c:marker>
            <c:symbol val="diamond"/>
            <c:size val="5"/>
            <c:spPr>
              <a:solidFill>
                <a:srgbClr val="000080"/>
              </a:solidFill>
              <a:ln>
                <a:solidFill>
                  <a:srgbClr val="000080"/>
                </a:solidFill>
                <a:prstDash val="solid"/>
              </a:ln>
            </c:spPr>
          </c:marker>
          <c:xVal>
            <c:numRef>
              <c:f>'NTS GCD11 Option Two'!$D$191:$D$209</c:f>
              <c:numCache>
                <c:formatCode>#,##0</c:formatCode>
                <c:ptCount val="19"/>
                <c:pt idx="0">
                  <c:v>649800000</c:v>
                </c:pt>
                <c:pt idx="1">
                  <c:v>541500000</c:v>
                </c:pt>
                <c:pt idx="2">
                  <c:v>433200000</c:v>
                </c:pt>
                <c:pt idx="3">
                  <c:v>324900000</c:v>
                </c:pt>
                <c:pt idx="4">
                  <c:v>216600000</c:v>
                </c:pt>
                <c:pt idx="5">
                  <c:v>162450000</c:v>
                </c:pt>
                <c:pt idx="6">
                  <c:v>129960000</c:v>
                </c:pt>
                <c:pt idx="7">
                  <c:v>108300000</c:v>
                </c:pt>
                <c:pt idx="8">
                  <c:v>75810000</c:v>
                </c:pt>
                <c:pt idx="9">
                  <c:v>54150000</c:v>
                </c:pt>
                <c:pt idx="10">
                  <c:v>43320000</c:v>
                </c:pt>
                <c:pt idx="11">
                  <c:v>32490000</c:v>
                </c:pt>
                <c:pt idx="12">
                  <c:v>21660000</c:v>
                </c:pt>
                <c:pt idx="13">
                  <c:v>10830000</c:v>
                </c:pt>
                <c:pt idx="14">
                  <c:v>5415000</c:v>
                </c:pt>
                <c:pt idx="15">
                  <c:v>4332000</c:v>
                </c:pt>
                <c:pt idx="16">
                  <c:v>3249000</c:v>
                </c:pt>
                <c:pt idx="17">
                  <c:v>2166000</c:v>
                </c:pt>
                <c:pt idx="18">
                  <c:v>1083000</c:v>
                </c:pt>
              </c:numCache>
            </c:numRef>
          </c:xVal>
          <c:yVal>
            <c:numRef>
              <c:f>'NTS GCD11 Option Two'!$B$243:$B$261</c:f>
              <c:numCache>
                <c:formatCode>0.00000</c:formatCode>
                <c:ptCount val="19"/>
                <c:pt idx="0">
                  <c:v>6.4499560002256862E-4</c:v>
                </c:pt>
                <c:pt idx="1">
                  <c:v>7.7399472002708219E-4</c:v>
                </c:pt>
                <c:pt idx="2">
                  <c:v>9.6749340003385298E-4</c:v>
                </c:pt>
                <c:pt idx="3">
                  <c:v>1.2899912000451372E-3</c:v>
                </c:pt>
                <c:pt idx="4">
                  <c:v>1.934986800067706E-3</c:v>
                </c:pt>
                <c:pt idx="5">
                  <c:v>2.5799824000902745E-3</c:v>
                </c:pt>
                <c:pt idx="6">
                  <c:v>2.9055061313762488E-3</c:v>
                </c:pt>
                <c:pt idx="7">
                  <c:v>3.2924978677862276E-3</c:v>
                </c:pt>
                <c:pt idx="8">
                  <c:v>4.287619475697598E-3</c:v>
                </c:pt>
                <c:pt idx="9">
                  <c:v>5.5538734247166481E-3</c:v>
                </c:pt>
                <c:pt idx="10">
                  <c:v>6.0809809196186639E-3</c:v>
                </c:pt>
                <c:pt idx="11">
                  <c:v>7.0241965744104488E-3</c:v>
                </c:pt>
                <c:pt idx="12">
                  <c:v>1.0366449057983562E-2</c:v>
                </c:pt>
                <c:pt idx="13">
                  <c:v>1.6850708318661679E-2</c:v>
                </c:pt>
                <c:pt idx="14">
                  <c:v>2.1254989140247298E-2</c:v>
                </c:pt>
                <c:pt idx="15">
                  <c:v>2.6568736425309124E-2</c:v>
                </c:pt>
                <c:pt idx="16">
                  <c:v>2.9601697204453992E-2</c:v>
                </c:pt>
                <c:pt idx="17">
                  <c:v>4.4402545806681001E-2</c:v>
                </c:pt>
                <c:pt idx="18">
                  <c:v>7.473215359812975E-2</c:v>
                </c:pt>
              </c:numCache>
            </c:numRef>
          </c:yVal>
          <c:smooth val="0"/>
          <c:extLst>
            <c:ext xmlns:c16="http://schemas.microsoft.com/office/drawing/2014/chart" uri="{C3380CC4-5D6E-409C-BE32-E72D297353CC}">
              <c16:uniqueId val="{00000000-71B0-4B94-A7F3-84E138BAD65D}"/>
            </c:ext>
          </c:extLst>
        </c:ser>
        <c:dLbls>
          <c:showLegendKey val="0"/>
          <c:showVal val="0"/>
          <c:showCatName val="0"/>
          <c:showSerName val="0"/>
          <c:showPercent val="0"/>
          <c:showBubbleSize val="0"/>
        </c:dLbls>
        <c:axId val="161573504"/>
        <c:axId val="161604736"/>
      </c:scatterChart>
      <c:valAx>
        <c:axId val="161573504"/>
        <c:scaling>
          <c:orientation val="minMax"/>
        </c:scaling>
        <c:delete val="0"/>
        <c:axPos val="b"/>
        <c:title>
          <c:tx>
            <c:rich>
              <a:bodyPr/>
              <a:lstStyle/>
              <a:p>
                <a:pPr>
                  <a:defRPr sz="1700" b="1" i="0" u="none" strike="noStrike" baseline="0">
                    <a:solidFill>
                      <a:srgbClr val="000000"/>
                    </a:solidFill>
                    <a:latin typeface="Arial"/>
                    <a:ea typeface="Arial"/>
                    <a:cs typeface="Arial"/>
                  </a:defRPr>
                </a:pPr>
                <a:r>
                  <a:rPr lang="en-GB"/>
                  <a:t>SOQ kWh</a:t>
                </a:r>
              </a:p>
            </c:rich>
          </c:tx>
          <c:layout>
            <c:manualLayout>
              <c:xMode val="edge"/>
              <c:yMode val="edge"/>
              <c:x val="0.47815521239456715"/>
              <c:y val="0.8418382379621902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en-US"/>
          </a:p>
        </c:txPr>
        <c:crossAx val="161604736"/>
        <c:crosses val="autoZero"/>
        <c:crossBetween val="midCat"/>
      </c:valAx>
      <c:valAx>
        <c:axId val="161604736"/>
        <c:scaling>
          <c:orientation val="minMax"/>
        </c:scaling>
        <c:delete val="0"/>
        <c:axPos val="l"/>
        <c:majorGridlines>
          <c:spPr>
            <a:ln w="3175">
              <a:solidFill>
                <a:srgbClr val="000000"/>
              </a:solidFill>
              <a:prstDash val="solid"/>
            </a:ln>
          </c:spPr>
        </c:majorGridlines>
        <c:title>
          <c:tx>
            <c:rich>
              <a:bodyPr/>
              <a:lstStyle/>
              <a:p>
                <a:pPr>
                  <a:defRPr sz="1700" b="1" i="0" u="none" strike="noStrike" baseline="0">
                    <a:solidFill>
                      <a:srgbClr val="000000"/>
                    </a:solidFill>
                    <a:latin typeface="Arial"/>
                    <a:ea typeface="Arial"/>
                    <a:cs typeface="Arial"/>
                  </a:defRPr>
                </a:pPr>
                <a:r>
                  <a:rPr lang="en-GB"/>
                  <a:t>Cost pence per kWh</a:t>
                </a:r>
              </a:p>
            </c:rich>
          </c:tx>
          <c:layout>
            <c:manualLayout>
              <c:xMode val="edge"/>
              <c:yMode val="edge"/>
              <c:x val="1.5733506612644294E-2"/>
              <c:y val="0.13508134063887176"/>
            </c:manualLayout>
          </c:layout>
          <c:overlay val="0"/>
          <c:spPr>
            <a:noFill/>
            <a:ln w="25400">
              <a:noFill/>
            </a:ln>
          </c:spPr>
        </c:title>
        <c:numFmt formatCode="0.00000" sourceLinked="1"/>
        <c:majorTickMark val="out"/>
        <c:minorTickMark val="none"/>
        <c:tickLblPos val="nextTo"/>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en-US"/>
          </a:p>
        </c:txPr>
        <c:crossAx val="161573504"/>
        <c:crosses val="autoZero"/>
        <c:crossBetween val="midCat"/>
      </c:valAx>
      <c:spPr>
        <a:solidFill>
          <a:srgbClr val="C0C0C0"/>
        </a:solidFill>
        <a:ln w="12700">
          <a:solidFill>
            <a:srgbClr val="808080"/>
          </a:solidFill>
          <a:prstDash val="solid"/>
        </a:ln>
      </c:spPr>
    </c:plotArea>
    <c:legend>
      <c:legendPos val="b"/>
      <c:layout>
        <c:manualLayout>
          <c:xMode val="edge"/>
          <c:yMode val="edge"/>
          <c:x val="0.3446601941747573"/>
          <c:y val="0.92857312190814856"/>
          <c:w val="0.40655327064699437"/>
          <c:h val="5.9523930476432341E-2"/>
        </c:manualLayout>
      </c:layout>
      <c:overlay val="0"/>
      <c:spPr>
        <a:solidFill>
          <a:srgbClr val="FFFFFF"/>
        </a:solidFill>
        <a:ln w="3175">
          <a:solidFill>
            <a:srgbClr val="000000"/>
          </a:solidFill>
          <a:prstDash val="solid"/>
        </a:ln>
      </c:spPr>
      <c:txPr>
        <a:bodyPr/>
        <a:lstStyle/>
        <a:p>
          <a:pPr>
            <a:defRPr sz="86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42279460830108"/>
          <c:y val="2.891149023038787E-2"/>
        </c:manualLayout>
      </c:layout>
      <c:overlay val="0"/>
      <c:spPr>
        <a:noFill/>
        <a:ln w="25400">
          <a:noFill/>
        </a:ln>
      </c:spPr>
      <c:txPr>
        <a:bodyPr/>
        <a:lstStyle/>
        <a:p>
          <a:pPr>
            <a:defRPr sz="16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877407710229637"/>
          <c:y val="0.16835263011901955"/>
          <c:w val="0.8441900694819473"/>
          <c:h val="0.65136162601247938"/>
        </c:manualLayout>
      </c:layout>
      <c:scatterChart>
        <c:scatterStyle val="lineMarker"/>
        <c:varyColors val="0"/>
        <c:ser>
          <c:idx val="0"/>
          <c:order val="0"/>
          <c:tx>
            <c:v>Cost per KWh for 0 distance</c:v>
          </c:tx>
          <c:spPr>
            <a:ln w="12700">
              <a:solidFill>
                <a:srgbClr val="000080"/>
              </a:solidFill>
              <a:prstDash val="solid"/>
            </a:ln>
          </c:spPr>
          <c:marker>
            <c:symbol val="diamond"/>
            <c:size val="5"/>
            <c:spPr>
              <a:solidFill>
                <a:srgbClr val="000080"/>
              </a:solidFill>
              <a:ln>
                <a:solidFill>
                  <a:srgbClr val="000080"/>
                </a:solidFill>
                <a:prstDash val="solid"/>
              </a:ln>
            </c:spPr>
          </c:marker>
          <c:trendline>
            <c:trendlineType val="linear"/>
            <c:dispRSqr val="0"/>
            <c:dispEq val="1"/>
            <c:trendlineLbl>
              <c:numFmt formatCode="General" sourceLinked="0"/>
              <c:txPr>
                <a:bodyPr/>
                <a:lstStyle/>
                <a:p>
                  <a:pPr>
                    <a:defRPr sz="1625" b="0" i="0" u="none" strike="noStrike" baseline="0">
                      <a:solidFill>
                        <a:srgbClr val="000000"/>
                      </a:solidFill>
                      <a:latin typeface="Arial"/>
                      <a:ea typeface="Arial"/>
                      <a:cs typeface="Arial"/>
                    </a:defRPr>
                  </a:pPr>
                  <a:endParaRPr lang="en-US"/>
                </a:p>
              </c:txPr>
            </c:trendlineLbl>
          </c:trendline>
          <c:xVal>
            <c:numRef>
              <c:f>'NTS GCD11 Option Two'!$E$191:$E$209</c:f>
              <c:numCache>
                <c:formatCode>0</c:formatCode>
                <c:ptCount val="19"/>
                <c:pt idx="0">
                  <c:v>20.292175181199273</c:v>
                </c:pt>
                <c:pt idx="1">
                  <c:v>20.109853624405318</c:v>
                </c:pt>
                <c:pt idx="2">
                  <c:v>19.886710073091109</c:v>
                </c:pt>
                <c:pt idx="3">
                  <c:v>19.599028000639329</c:v>
                </c:pt>
                <c:pt idx="4">
                  <c:v>19.193562892531165</c:v>
                </c:pt>
                <c:pt idx="5">
                  <c:v>18.905880820079382</c:v>
                </c:pt>
                <c:pt idx="6">
                  <c:v>18.682737268765173</c:v>
                </c:pt>
                <c:pt idx="7">
                  <c:v>18.500415711971218</c:v>
                </c:pt>
                <c:pt idx="8">
                  <c:v>18.143740768032487</c:v>
                </c:pt>
                <c:pt idx="9">
                  <c:v>17.807268531411275</c:v>
                </c:pt>
                <c:pt idx="10">
                  <c:v>17.584124980097062</c:v>
                </c:pt>
                <c:pt idx="11">
                  <c:v>17.296442907645282</c:v>
                </c:pt>
                <c:pt idx="12">
                  <c:v>16.890977799537119</c:v>
                </c:pt>
                <c:pt idx="13">
                  <c:v>16.197830618977175</c:v>
                </c:pt>
                <c:pt idx="14">
                  <c:v>15.504683438417228</c:v>
                </c:pt>
                <c:pt idx="15">
                  <c:v>15.281539887103019</c:v>
                </c:pt>
                <c:pt idx="16">
                  <c:v>14.993857814651237</c:v>
                </c:pt>
                <c:pt idx="17">
                  <c:v>14.588392706543074</c:v>
                </c:pt>
                <c:pt idx="18">
                  <c:v>13.895245525983128</c:v>
                </c:pt>
              </c:numCache>
            </c:numRef>
          </c:xVal>
          <c:yVal>
            <c:numRef>
              <c:f>'NTS GCD11 Option Two'!$C$243:$C$261</c:f>
              <c:numCache>
                <c:formatCode>#,##0</c:formatCode>
                <c:ptCount val="19"/>
                <c:pt idx="0">
                  <c:v>-7.3462670628622053</c:v>
                </c:pt>
                <c:pt idx="1">
                  <c:v>-7.1639455060682513</c:v>
                </c:pt>
                <c:pt idx="2">
                  <c:v>-6.9408019547540407</c:v>
                </c:pt>
                <c:pt idx="3">
                  <c:v>-6.6531198823022599</c:v>
                </c:pt>
                <c:pt idx="4">
                  <c:v>-6.2476547741940962</c:v>
                </c:pt>
                <c:pt idx="5">
                  <c:v>-5.9599727017423145</c:v>
                </c:pt>
                <c:pt idx="6">
                  <c:v>-5.841147676185896</c:v>
                </c:pt>
                <c:pt idx="7">
                  <c:v>-5.7161087719442447</c:v>
                </c:pt>
                <c:pt idx="8">
                  <c:v>-5.4520236008264122</c:v>
                </c:pt>
                <c:pt idx="9">
                  <c:v>-5.1932596802894082</c:v>
                </c:pt>
                <c:pt idx="10">
                  <c:v>-5.102589260553632</c:v>
                </c:pt>
                <c:pt idx="11">
                  <c:v>-4.958394436934654</c:v>
                </c:pt>
                <c:pt idx="12">
                  <c:v>-4.5691807398766731</c:v>
                </c:pt>
                <c:pt idx="13">
                  <c:v>-4.0833625863514573</c:v>
                </c:pt>
                <c:pt idx="14">
                  <c:v>-3.8511636280984818</c:v>
                </c:pt>
                <c:pt idx="15">
                  <c:v>-3.6280200767842721</c:v>
                </c:pt>
                <c:pt idx="16">
                  <c:v>-3.5199235813075713</c:v>
                </c:pt>
                <c:pt idx="17">
                  <c:v>-3.1144584731994067</c:v>
                </c:pt>
                <c:pt idx="18">
                  <c:v>-2.5938448430672536</c:v>
                </c:pt>
              </c:numCache>
            </c:numRef>
          </c:yVal>
          <c:smooth val="0"/>
          <c:extLst>
            <c:ext xmlns:c16="http://schemas.microsoft.com/office/drawing/2014/chart" uri="{C3380CC4-5D6E-409C-BE32-E72D297353CC}">
              <c16:uniqueId val="{00000001-BC6D-4550-8B75-BC3AA58DAF27}"/>
            </c:ext>
          </c:extLst>
        </c:ser>
        <c:dLbls>
          <c:showLegendKey val="0"/>
          <c:showVal val="0"/>
          <c:showCatName val="0"/>
          <c:showSerName val="0"/>
          <c:showPercent val="0"/>
          <c:showBubbleSize val="0"/>
        </c:dLbls>
        <c:axId val="163280768"/>
        <c:axId val="163291136"/>
      </c:scatterChart>
      <c:valAx>
        <c:axId val="163280768"/>
        <c:scaling>
          <c:orientation val="minMax"/>
        </c:scaling>
        <c:delete val="0"/>
        <c:axPos val="b"/>
        <c:title>
          <c:tx>
            <c:rich>
              <a:bodyPr/>
              <a:lstStyle/>
              <a:p>
                <a:pPr>
                  <a:defRPr sz="1625" b="1" i="0" u="none" strike="noStrike" baseline="0">
                    <a:solidFill>
                      <a:srgbClr val="000000"/>
                    </a:solidFill>
                    <a:latin typeface="Arial"/>
                    <a:ea typeface="Arial"/>
                    <a:cs typeface="Arial"/>
                  </a:defRPr>
                </a:pPr>
                <a:r>
                  <a:rPr lang="en-GB"/>
                  <a:t>SOQ kWh</a:t>
                </a:r>
              </a:p>
            </c:rich>
          </c:tx>
          <c:layout>
            <c:manualLayout>
              <c:xMode val="edge"/>
              <c:yMode val="edge"/>
              <c:x val="0.47254207630825806"/>
              <c:y val="0.845239622824924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625" b="0" i="0" u="none" strike="noStrike" baseline="0">
                <a:solidFill>
                  <a:srgbClr val="000000"/>
                </a:solidFill>
                <a:latin typeface="Arial"/>
                <a:ea typeface="Arial"/>
                <a:cs typeface="Arial"/>
              </a:defRPr>
            </a:pPr>
            <a:endParaRPr lang="en-US"/>
          </a:p>
        </c:txPr>
        <c:crossAx val="163291136"/>
        <c:crosses val="autoZero"/>
        <c:crossBetween val="midCat"/>
      </c:valAx>
      <c:valAx>
        <c:axId val="163291136"/>
        <c:scaling>
          <c:orientation val="minMax"/>
        </c:scaling>
        <c:delete val="0"/>
        <c:axPos val="l"/>
        <c:majorGridlines>
          <c:spPr>
            <a:ln w="3175">
              <a:solidFill>
                <a:srgbClr val="000000"/>
              </a:solidFill>
              <a:prstDash val="solid"/>
            </a:ln>
          </c:spPr>
        </c:majorGridlines>
        <c:title>
          <c:tx>
            <c:rich>
              <a:bodyPr/>
              <a:lstStyle/>
              <a:p>
                <a:pPr>
                  <a:defRPr sz="1625" b="1" i="0" u="none" strike="noStrike" baseline="0">
                    <a:solidFill>
                      <a:srgbClr val="000000"/>
                    </a:solidFill>
                    <a:latin typeface="Arial"/>
                    <a:ea typeface="Arial"/>
                    <a:cs typeface="Arial"/>
                  </a:defRPr>
                </a:pPr>
                <a:r>
                  <a:rPr lang="en-GB"/>
                  <a:t>Cost pence per kWh</a:t>
                </a:r>
              </a:p>
            </c:rich>
          </c:tx>
          <c:layout>
            <c:manualLayout>
              <c:xMode val="edge"/>
              <c:yMode val="edge"/>
              <c:x val="1.6618176965167489E-2"/>
              <c:y val="0.2213524351122776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625" b="0" i="0" u="none" strike="noStrike" baseline="0">
                <a:solidFill>
                  <a:srgbClr val="000000"/>
                </a:solidFill>
                <a:latin typeface="Arial"/>
                <a:ea typeface="Arial"/>
                <a:cs typeface="Arial"/>
              </a:defRPr>
            </a:pPr>
            <a:endParaRPr lang="en-US"/>
          </a:p>
        </c:txPr>
        <c:crossAx val="163280768"/>
        <c:crosses val="autoZero"/>
        <c:crossBetween val="midCat"/>
      </c:valAx>
      <c:spPr>
        <a:solidFill>
          <a:srgbClr val="C0C0C0"/>
        </a:solidFill>
        <a:ln w="12700">
          <a:solidFill>
            <a:srgbClr val="808080"/>
          </a:solidFill>
          <a:prstDash val="solid"/>
        </a:ln>
      </c:spPr>
    </c:plotArea>
    <c:legend>
      <c:legendPos val="b"/>
      <c:layout>
        <c:manualLayout>
          <c:xMode val="edge"/>
          <c:yMode val="edge"/>
          <c:x val="4.2145706362975814E-2"/>
          <c:y val="0.93027364634976184"/>
          <c:w val="0.93542061479603189"/>
          <c:h val="5.7823223485953146E-2"/>
        </c:manualLayout>
      </c:layout>
      <c:overlay val="0"/>
      <c:spPr>
        <a:solidFill>
          <a:srgbClr val="FFFFFF"/>
        </a:solidFill>
        <a:ln w="3175">
          <a:solidFill>
            <a:srgbClr val="000000"/>
          </a:solidFill>
          <a:prstDash val="solid"/>
        </a:ln>
      </c:spPr>
      <c:txPr>
        <a:bodyPr/>
        <a:lstStyle/>
        <a:p>
          <a:pPr>
            <a:defRPr sz="8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28575</xdr:colOff>
      <xdr:row>195</xdr:row>
      <xdr:rowOff>76200</xdr:rowOff>
    </xdr:from>
    <xdr:to>
      <xdr:col>8</xdr:col>
      <xdr:colOff>219075</xdr:colOff>
      <xdr:row>210</xdr:row>
      <xdr:rowOff>171450</xdr:rowOff>
    </xdr:to>
    <xdr:graphicFrame macro="">
      <xdr:nvGraphicFramePr>
        <xdr:cNvPr id="734881" name="Chart 1">
          <a:extLst>
            <a:ext uri="{FF2B5EF4-FFF2-40B4-BE49-F238E27FC236}">
              <a16:creationId xmlns:a16="http://schemas.microsoft.com/office/drawing/2014/main" id="{00000000-0008-0000-0100-0000A136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561975</xdr:colOff>
      <xdr:row>195</xdr:row>
      <xdr:rowOff>47625</xdr:rowOff>
    </xdr:from>
    <xdr:to>
      <xdr:col>13</xdr:col>
      <xdr:colOff>781050</xdr:colOff>
      <xdr:row>211</xdr:row>
      <xdr:rowOff>19050</xdr:rowOff>
    </xdr:to>
    <xdr:graphicFrame macro="">
      <xdr:nvGraphicFramePr>
        <xdr:cNvPr id="734882" name="Chart 3">
          <a:extLst>
            <a:ext uri="{FF2B5EF4-FFF2-40B4-BE49-F238E27FC236}">
              <a16:creationId xmlns:a16="http://schemas.microsoft.com/office/drawing/2014/main" id="{00000000-0008-0000-0100-0000A236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133350</xdr:colOff>
      <xdr:row>172</xdr:row>
      <xdr:rowOff>57150</xdr:rowOff>
    </xdr:from>
    <xdr:to>
      <xdr:col>8</xdr:col>
      <xdr:colOff>219075</xdr:colOff>
      <xdr:row>188</xdr:row>
      <xdr:rowOff>133350</xdr:rowOff>
    </xdr:to>
    <xdr:graphicFrame macro="">
      <xdr:nvGraphicFramePr>
        <xdr:cNvPr id="734883" name="Chart 717">
          <a:extLst>
            <a:ext uri="{FF2B5EF4-FFF2-40B4-BE49-F238E27FC236}">
              <a16:creationId xmlns:a16="http://schemas.microsoft.com/office/drawing/2014/main" id="{00000000-0008-0000-0100-0000A336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561975</xdr:colOff>
      <xdr:row>172</xdr:row>
      <xdr:rowOff>76200</xdr:rowOff>
    </xdr:from>
    <xdr:to>
      <xdr:col>13</xdr:col>
      <xdr:colOff>581025</xdr:colOff>
      <xdr:row>188</xdr:row>
      <xdr:rowOff>133350</xdr:rowOff>
    </xdr:to>
    <xdr:graphicFrame macro="">
      <xdr:nvGraphicFramePr>
        <xdr:cNvPr id="734884" name="Chart 718">
          <a:extLst>
            <a:ext uri="{FF2B5EF4-FFF2-40B4-BE49-F238E27FC236}">
              <a16:creationId xmlns:a16="http://schemas.microsoft.com/office/drawing/2014/main" id="{00000000-0008-0000-0100-0000A436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1311640</xdr:colOff>
      <xdr:row>3</xdr:row>
      <xdr:rowOff>187378</xdr:rowOff>
    </xdr:from>
    <xdr:to>
      <xdr:col>13</xdr:col>
      <xdr:colOff>1</xdr:colOff>
      <xdr:row>7</xdr:row>
      <xdr:rowOff>171762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506763" y="796353"/>
          <a:ext cx="3997377" cy="796352"/>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i="0" u="none" strike="noStrike">
              <a:solidFill>
                <a:schemeClr val="dk1"/>
              </a:solidFill>
              <a:effectLst/>
              <a:latin typeface="Arial" panose="020B0604020202020204" pitchFamily="34" charset="0"/>
              <a:ea typeface="+mn-ea"/>
              <a:cs typeface="Arial" panose="020B0604020202020204" pitchFamily="34" charset="0"/>
            </a:rPr>
            <a:t>This table shows the pipe diameters in mm required to meet a range of typical peak day flowrates for a range of pipeline distances. </a:t>
          </a:r>
          <a:r>
            <a:rPr lang="en-GB" sz="1400">
              <a:latin typeface="Arial" panose="020B0604020202020204" pitchFamily="34" charset="0"/>
              <a:cs typeface="Arial" panose="020B0604020202020204" pitchFamily="34" charset="0"/>
            </a:rPr>
            <a:t> </a:t>
          </a:r>
        </a:p>
      </xdr:txBody>
    </xdr:sp>
    <xdr:clientData/>
  </xdr:twoCellAnchor>
  <xdr:twoCellAnchor>
    <xdr:from>
      <xdr:col>2</xdr:col>
      <xdr:colOff>15615</xdr:colOff>
      <xdr:row>22</xdr:row>
      <xdr:rowOff>15613</xdr:rowOff>
    </xdr:from>
    <xdr:to>
      <xdr:col>5</xdr:col>
      <xdr:colOff>296680</xdr:colOff>
      <xdr:row>27</xdr:row>
      <xdr:rowOff>156147</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16640" y="4481433"/>
          <a:ext cx="4340901" cy="1155493"/>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lang="en-GB" sz="1400">
              <a:latin typeface="Arial" panose="020B0604020202020204" pitchFamily="34" charset="0"/>
              <a:cs typeface="Arial" panose="020B0604020202020204" pitchFamily="34" charset="0"/>
            </a:rPr>
            <a:t>This table contains the unit costs per km based on historical planning and design specification for the different pipe sizes based on values used to produce the NTS Optional Commodity Charge formula in 1998</a:t>
          </a:r>
        </a:p>
      </xdr:txBody>
    </xdr:sp>
    <xdr:clientData/>
  </xdr:twoCellAnchor>
  <xdr:twoCellAnchor>
    <xdr:from>
      <xdr:col>10</xdr:col>
      <xdr:colOff>15614</xdr:colOff>
      <xdr:row>51</xdr:row>
      <xdr:rowOff>171762</xdr:rowOff>
    </xdr:from>
    <xdr:to>
      <xdr:col>13</xdr:col>
      <xdr:colOff>93688</xdr:colOff>
      <xdr:row>61</xdr:row>
      <xdr:rowOff>171761</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5802130" y="10524344"/>
          <a:ext cx="4059837" cy="2029917"/>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lang="en-GB" sz="1400" b="0" i="0" u="none" strike="noStrike">
              <a:solidFill>
                <a:schemeClr val="dk1"/>
              </a:solidFill>
              <a:effectLst/>
              <a:latin typeface="Arial" panose="020B0604020202020204" pitchFamily="34" charset="0"/>
              <a:ea typeface="+mn-ea"/>
              <a:cs typeface="Arial" panose="020B0604020202020204" pitchFamily="34" charset="0"/>
            </a:rPr>
            <a:t>This table calculates the total capital cost for a range of distances and peak day flowrates. This is done by multiplying the pipe laying unit cost from table 2 by the distance and adding the non-distance related cost from step 3. Additional costs are included for pipeline distances at 25km and over (£100k) with an extra increment (£100k) at 50km as an estimate of additional costs as distance increases. </a:t>
          </a:r>
          <a:r>
            <a:rPr lang="en-GB" sz="1400">
              <a:latin typeface="Arial" panose="020B0604020202020204" pitchFamily="34" charset="0"/>
              <a:cs typeface="Arial" panose="020B0604020202020204" pitchFamily="34" charset="0"/>
            </a:rPr>
            <a:t> </a:t>
          </a:r>
        </a:p>
      </xdr:txBody>
    </xdr:sp>
    <xdr:clientData/>
  </xdr:twoCellAnchor>
  <xdr:twoCellAnchor>
    <xdr:from>
      <xdr:col>2</xdr:col>
      <xdr:colOff>31229</xdr:colOff>
      <xdr:row>69</xdr:row>
      <xdr:rowOff>187377</xdr:rowOff>
    </xdr:from>
    <xdr:to>
      <xdr:col>5</xdr:col>
      <xdr:colOff>124918</xdr:colOff>
      <xdr:row>74</xdr:row>
      <xdr:rowOff>171763</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685737" y="14193811"/>
          <a:ext cx="4153525" cy="99934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i="0" u="none" strike="noStrike">
              <a:solidFill>
                <a:schemeClr val="dk1"/>
              </a:solidFill>
              <a:effectLst/>
              <a:latin typeface="Arial" panose="020B0604020202020204" pitchFamily="34" charset="0"/>
              <a:ea typeface="+mn-ea"/>
              <a:cs typeface="Arial" panose="020B0604020202020204" pitchFamily="34" charset="0"/>
            </a:rPr>
            <a:t>This table shows how the ten year discount factor used in this model is calculated and this discount factor is used to calculate the annuitised cost. </a:t>
          </a:r>
          <a:r>
            <a:rPr lang="en-GB" sz="1400">
              <a:latin typeface="Arial" panose="020B0604020202020204" pitchFamily="34" charset="0"/>
              <a:cs typeface="Arial" panose="020B0604020202020204" pitchFamily="34" charset="0"/>
            </a:rPr>
            <a:t> </a:t>
          </a:r>
        </a:p>
      </xdr:txBody>
    </xdr:sp>
    <xdr:clientData/>
  </xdr:twoCellAnchor>
  <xdr:twoCellAnchor>
    <xdr:from>
      <xdr:col>10</xdr:col>
      <xdr:colOff>31230</xdr:colOff>
      <xdr:row>87</xdr:row>
      <xdr:rowOff>171761</xdr:rowOff>
    </xdr:from>
    <xdr:to>
      <xdr:col>13</xdr:col>
      <xdr:colOff>187377</xdr:colOff>
      <xdr:row>94</xdr:row>
      <xdr:rowOff>140532</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4990164" y="17832048"/>
          <a:ext cx="4137910" cy="1389714"/>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i="0" u="none" strike="noStrike">
              <a:solidFill>
                <a:schemeClr val="dk1"/>
              </a:solidFill>
              <a:effectLst/>
              <a:latin typeface="Arial" panose="020B0604020202020204" pitchFamily="34" charset="0"/>
              <a:ea typeface="+mn-ea"/>
              <a:cs typeface="Arial" panose="020B0604020202020204" pitchFamily="34" charset="0"/>
            </a:rPr>
            <a:t>This table calculates the total project cost per annum made up of annuitised capital costs and ongoing (revenue) costs over a ten year project life using the costs from step 4 and the 10 year discount factor from step 5.</a:t>
          </a:r>
          <a:br>
            <a:rPr lang="en-GB" sz="1400" b="0" i="0" u="none" strike="noStrike">
              <a:solidFill>
                <a:schemeClr val="dk1"/>
              </a:solidFill>
              <a:effectLst/>
              <a:latin typeface="Arial" panose="020B0604020202020204" pitchFamily="34" charset="0"/>
              <a:ea typeface="+mn-ea"/>
              <a:cs typeface="Arial" panose="020B0604020202020204" pitchFamily="34" charset="0"/>
            </a:rPr>
          </a:br>
          <a:br>
            <a:rPr lang="en-GB" sz="1400" b="0" i="0" u="none" strike="noStrike">
              <a:solidFill>
                <a:schemeClr val="dk1"/>
              </a:solidFill>
              <a:effectLst/>
              <a:latin typeface="Arial" panose="020B0604020202020204" pitchFamily="34" charset="0"/>
              <a:ea typeface="+mn-ea"/>
              <a:cs typeface="Arial" panose="020B0604020202020204" pitchFamily="34" charset="0"/>
            </a:rPr>
          </a:br>
          <a:endParaRPr lang="en-GB" sz="1400">
            <a:latin typeface="Arial" panose="020B0604020202020204" pitchFamily="34" charset="0"/>
            <a:cs typeface="Arial" panose="020B0604020202020204" pitchFamily="34" charset="0"/>
          </a:endParaRPr>
        </a:p>
      </xdr:txBody>
    </xdr:sp>
    <xdr:clientData/>
  </xdr:twoCellAnchor>
  <xdr:twoCellAnchor>
    <xdr:from>
      <xdr:col>10</xdr:col>
      <xdr:colOff>46842</xdr:colOff>
      <xdr:row>105</xdr:row>
      <xdr:rowOff>156148</xdr:rowOff>
    </xdr:from>
    <xdr:to>
      <xdr:col>14</xdr:col>
      <xdr:colOff>687049</xdr:colOff>
      <xdr:row>112</xdr:row>
      <xdr:rowOff>187376</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5833358" y="21470287"/>
          <a:ext cx="5996068" cy="1452171"/>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lang="en-GB" sz="1400">
              <a:latin typeface="Arial" panose="020B0604020202020204" pitchFamily="34" charset="0"/>
              <a:cs typeface="Arial" panose="020B0604020202020204" pitchFamily="34" charset="0"/>
            </a:rPr>
            <a:t>This table calculates the ongoing costs of the hypothetical pipeline based on a number of assumptions and estimates. The total for including these costs are through a combination of adjustments that in total provide the assumption for the annual maintenance costs associated to the pipeline. These costs increase in steps based on flow rates and distances. </a:t>
          </a:r>
        </a:p>
      </xdr:txBody>
    </xdr:sp>
    <xdr:clientData/>
  </xdr:twoCellAnchor>
  <xdr:twoCellAnchor>
    <xdr:from>
      <xdr:col>9</xdr:col>
      <xdr:colOff>171761</xdr:colOff>
      <xdr:row>131</xdr:row>
      <xdr:rowOff>187377</xdr:rowOff>
    </xdr:from>
    <xdr:to>
      <xdr:col>12</xdr:col>
      <xdr:colOff>187376</xdr:colOff>
      <xdr:row>138</xdr:row>
      <xdr:rowOff>124917</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3647294" y="26716844"/>
          <a:ext cx="3997377" cy="1358483"/>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i="0" u="none" strike="noStrike">
              <a:solidFill>
                <a:schemeClr val="dk1"/>
              </a:solidFill>
              <a:effectLst/>
              <a:latin typeface="Arial" panose="020B0604020202020204" pitchFamily="34" charset="0"/>
              <a:ea typeface="+mn-ea"/>
              <a:cs typeface="Arial" panose="020B0604020202020204" pitchFamily="34" charset="0"/>
            </a:rPr>
            <a:t>This table calculates the supply point capacities using an average load factor of 75% of the SOQ. This is used to calculate the Annual Quantity AQ in GWh that will be used to calculate the cost per kWh.</a:t>
          </a:r>
          <a:r>
            <a:rPr lang="en-GB" sz="1400">
              <a:latin typeface="Arial" panose="020B0604020202020204" pitchFamily="34" charset="0"/>
              <a:cs typeface="Arial" panose="020B0604020202020204" pitchFamily="34" charset="0"/>
            </a:rPr>
            <a:t> </a:t>
          </a:r>
        </a:p>
      </xdr:txBody>
    </xdr:sp>
    <xdr:clientData/>
  </xdr:twoCellAnchor>
  <xdr:twoCellAnchor>
    <xdr:from>
      <xdr:col>10</xdr:col>
      <xdr:colOff>31228</xdr:colOff>
      <xdr:row>150</xdr:row>
      <xdr:rowOff>15614</xdr:rowOff>
    </xdr:from>
    <xdr:to>
      <xdr:col>13</xdr:col>
      <xdr:colOff>124918</xdr:colOff>
      <xdr:row>158</xdr:row>
      <xdr:rowOff>78074</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4287498" y="30198934"/>
          <a:ext cx="4075453" cy="1686394"/>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lang="en-GB" sz="1400" b="0" i="0" u="none" strike="noStrike">
              <a:solidFill>
                <a:schemeClr val="dk1"/>
              </a:solidFill>
              <a:effectLst/>
              <a:latin typeface="Arial" panose="020B0604020202020204" pitchFamily="34" charset="0"/>
              <a:ea typeface="+mn-ea"/>
              <a:cs typeface="Arial" panose="020B0604020202020204" pitchFamily="34" charset="0"/>
            </a:rPr>
            <a:t>This table divides the annuitised ongoing costs in table 7  by the annual quantities corresponding to the supply point capacities using an average load factor of 75% to generate a matrix of unit cost in table 8 (supply point capacities), expressed in p/kWh for a range of supply point capacities and distances.</a:t>
          </a:r>
          <a:r>
            <a:rPr lang="en-GB" sz="1400">
              <a:latin typeface="Arial" panose="020B0604020202020204" pitchFamily="34" charset="0"/>
              <a:cs typeface="Arial" panose="020B0604020202020204" pitchFamily="34" charset="0"/>
            </a:rPr>
            <a:t> </a:t>
          </a:r>
        </a:p>
      </xdr:txBody>
    </xdr:sp>
    <xdr:clientData/>
  </xdr:twoCellAnchor>
  <xdr:twoCellAnchor>
    <xdr:from>
      <xdr:col>13</xdr:col>
      <xdr:colOff>811965</xdr:colOff>
      <xdr:row>172</xdr:row>
      <xdr:rowOff>78073</xdr:rowOff>
    </xdr:from>
    <xdr:to>
      <xdr:col>17</xdr:col>
      <xdr:colOff>374754</xdr:colOff>
      <xdr:row>184</xdr:row>
      <xdr:rowOff>156149</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20580244" y="34930204"/>
          <a:ext cx="5059182" cy="235783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i="0" u="none" strike="noStrike">
              <a:solidFill>
                <a:schemeClr val="dk1"/>
              </a:solidFill>
              <a:effectLst/>
              <a:latin typeface="Arial" panose="020B0604020202020204" pitchFamily="34" charset="0"/>
              <a:ea typeface="+mn-ea"/>
              <a:cs typeface="Arial" panose="020B0604020202020204" pitchFamily="34" charset="0"/>
            </a:rPr>
            <a:t>This section calculates the distance and non-distance related parts of the function and this is done by means of regression analysis on the data. The functions are expressed as power relationships. The zero distance p/kWh is from step 9. The distance related average p/kWh is calculated by subtracting the 0km cost per kWh value from the 50 km cost per kWh in step 9 and dividing by 50. These are used to create linear equations that represent the non-distance and distance related elements of the NTS Optional Commodity charge function. </a:t>
          </a:r>
          <a:r>
            <a:rPr lang="en-GB" sz="1400">
              <a:latin typeface="Arial" panose="020B0604020202020204" pitchFamily="34" charset="0"/>
              <a:cs typeface="Arial" panose="020B0604020202020204" pitchFamily="34" charset="0"/>
            </a:rPr>
            <a:t> </a:t>
          </a:r>
        </a:p>
      </xdr:txBody>
    </xdr:sp>
    <xdr:clientData/>
  </xdr:twoCellAnchor>
  <xdr:twoCellAnchor>
    <xdr:from>
      <xdr:col>2</xdr:col>
      <xdr:colOff>1374099</xdr:colOff>
      <xdr:row>32</xdr:row>
      <xdr:rowOff>187376</xdr:rowOff>
    </xdr:from>
    <xdr:to>
      <xdr:col>6</xdr:col>
      <xdr:colOff>234221</xdr:colOff>
      <xdr:row>39</xdr:row>
      <xdr:rowOff>78074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4575124" y="6683114"/>
          <a:ext cx="4247212" cy="131164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i="0" u="none" strike="noStrike">
              <a:solidFill>
                <a:schemeClr val="dk1"/>
              </a:solidFill>
              <a:effectLst/>
              <a:latin typeface="Arial" panose="020B0604020202020204" pitchFamily="34" charset="0"/>
              <a:ea typeface="+mn-ea"/>
              <a:cs typeface="Arial" panose="020B0604020202020204" pitchFamily="34" charset="0"/>
            </a:rPr>
            <a:t>This table contains a total value of some of the non-distance related costs (e.g. Pipeline connection, Pig traps, Calorimetry, Pressure reduction and volumetric control) for each of the peak day flowrates.</a:t>
          </a:r>
          <a:r>
            <a:rPr lang="en-GB" sz="1400">
              <a:effectLst/>
              <a:latin typeface="Arial" panose="020B0604020202020204" pitchFamily="34" charset="0"/>
              <a:cs typeface="Arial" panose="020B0604020202020204" pitchFamily="34" charset="0"/>
            </a:rPr>
            <a:t> </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140533</xdr:colOff>
      <xdr:row>223</xdr:row>
      <xdr:rowOff>187377</xdr:rowOff>
    </xdr:from>
    <xdr:to>
      <xdr:col>14</xdr:col>
      <xdr:colOff>1280410</xdr:colOff>
      <xdr:row>230</xdr:row>
      <xdr:rowOff>15615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17254303" y="45048566"/>
          <a:ext cx="5168484" cy="1717623"/>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Arial" panose="020B0604020202020204" pitchFamily="34" charset="0"/>
              <a:ea typeface="+mn-ea"/>
              <a:cs typeface="Arial" panose="020B0604020202020204" pitchFamily="34" charset="0"/>
            </a:rPr>
            <a:t>This section contains the NTS Optional Commodity Charge formula that is produced from the previous steps. The formula is made up of the gradient and intercepts values from the two linear equations (non-distance and distance related). The first part of the equation covers the distance related element of the equation and the second part is the non-distance related part of the equation.</a:t>
          </a:r>
        </a:p>
        <a:p>
          <a:endParaRPr lang="en-GB" sz="14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268</xdr:row>
      <xdr:rowOff>76200</xdr:rowOff>
    </xdr:from>
    <xdr:to>
      <xdr:col>8</xdr:col>
      <xdr:colOff>219075</xdr:colOff>
      <xdr:row>289</xdr:row>
      <xdr:rowOff>142875</xdr:rowOff>
    </xdr:to>
    <xdr:graphicFrame macro="">
      <xdr:nvGraphicFramePr>
        <xdr:cNvPr id="964015" name="Chart 1">
          <a:extLst>
            <a:ext uri="{FF2B5EF4-FFF2-40B4-BE49-F238E27FC236}">
              <a16:creationId xmlns:a16="http://schemas.microsoft.com/office/drawing/2014/main" id="{00000000-0008-0000-0200-0000AFB5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495300</xdr:colOff>
      <xdr:row>268</xdr:row>
      <xdr:rowOff>19050</xdr:rowOff>
    </xdr:from>
    <xdr:to>
      <xdr:col>13</xdr:col>
      <xdr:colOff>704850</xdr:colOff>
      <xdr:row>289</xdr:row>
      <xdr:rowOff>142875</xdr:rowOff>
    </xdr:to>
    <xdr:graphicFrame macro="">
      <xdr:nvGraphicFramePr>
        <xdr:cNvPr id="964016" name="Chart 3">
          <a:extLst>
            <a:ext uri="{FF2B5EF4-FFF2-40B4-BE49-F238E27FC236}">
              <a16:creationId xmlns:a16="http://schemas.microsoft.com/office/drawing/2014/main" id="{00000000-0008-0000-0200-0000B0B5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133350</xdr:colOff>
      <xdr:row>240</xdr:row>
      <xdr:rowOff>57150</xdr:rowOff>
    </xdr:from>
    <xdr:to>
      <xdr:col>8</xdr:col>
      <xdr:colOff>219075</xdr:colOff>
      <xdr:row>261</xdr:row>
      <xdr:rowOff>133350</xdr:rowOff>
    </xdr:to>
    <xdr:graphicFrame macro="">
      <xdr:nvGraphicFramePr>
        <xdr:cNvPr id="964017" name="Chart 717">
          <a:extLst>
            <a:ext uri="{FF2B5EF4-FFF2-40B4-BE49-F238E27FC236}">
              <a16:creationId xmlns:a16="http://schemas.microsoft.com/office/drawing/2014/main" id="{00000000-0008-0000-0200-0000B1B5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561975</xdr:colOff>
      <xdr:row>240</xdr:row>
      <xdr:rowOff>76200</xdr:rowOff>
    </xdr:from>
    <xdr:to>
      <xdr:col>13</xdr:col>
      <xdr:colOff>581025</xdr:colOff>
      <xdr:row>261</xdr:row>
      <xdr:rowOff>133350</xdr:rowOff>
    </xdr:to>
    <xdr:graphicFrame macro="">
      <xdr:nvGraphicFramePr>
        <xdr:cNvPr id="964018" name="Chart 718">
          <a:extLst>
            <a:ext uri="{FF2B5EF4-FFF2-40B4-BE49-F238E27FC236}">
              <a16:creationId xmlns:a16="http://schemas.microsoft.com/office/drawing/2014/main" id="{00000000-0008-0000-0200-0000B2B5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156147</xdr:colOff>
      <xdr:row>5</xdr:row>
      <xdr:rowOff>46843</xdr:rowOff>
    </xdr:from>
    <xdr:to>
      <xdr:col>13</xdr:col>
      <xdr:colOff>109304</xdr:colOff>
      <xdr:row>10</xdr:row>
      <xdr:rowOff>31228</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4631024" y="1061802"/>
          <a:ext cx="3934919" cy="999344"/>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Arial" panose="020B0604020202020204" pitchFamily="34" charset="0"/>
              <a:ea typeface="+mn-ea"/>
              <a:cs typeface="Arial" panose="020B0604020202020204" pitchFamily="34" charset="0"/>
            </a:rPr>
            <a:t>This table shows the pipe diameters in mm required to meet a range of typical peak day flowrates for a range of pipeline distances. </a:t>
          </a:r>
          <a:r>
            <a:rPr lang="en-GB" sz="1400">
              <a:solidFill>
                <a:schemeClr val="dk1"/>
              </a:solidFill>
              <a:effectLst/>
              <a:latin typeface="Arial" panose="020B0604020202020204" pitchFamily="34" charset="0"/>
              <a:ea typeface="+mn-ea"/>
              <a:cs typeface="Arial" panose="020B0604020202020204" pitchFamily="34" charset="0"/>
            </a:rPr>
            <a:t> </a:t>
          </a:r>
          <a:endParaRPr lang="en-GB" sz="1400">
            <a:effectLst/>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twoCellAnchor>
    <xdr:from>
      <xdr:col>5</xdr:col>
      <xdr:colOff>62457</xdr:colOff>
      <xdr:row>26</xdr:row>
      <xdr:rowOff>0</xdr:rowOff>
    </xdr:from>
    <xdr:to>
      <xdr:col>7</xdr:col>
      <xdr:colOff>1748851</xdr:colOff>
      <xdr:row>34</xdr:row>
      <xdr:rowOff>15615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104711" y="5277787"/>
          <a:ext cx="4481435" cy="1655164"/>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Arial" panose="020B0604020202020204" pitchFamily="34" charset="0"/>
              <a:ea typeface="+mn-ea"/>
              <a:cs typeface="Arial" panose="020B0604020202020204" pitchFamily="34" charset="0"/>
            </a:rPr>
            <a:t>This table contains the unit costs per km based on historical planning and design specification for the different pipe sizes based on values used to produce the NTS Optional Commodity Charge formula in 1998</a:t>
          </a:r>
          <a:endParaRPr lang="en-GB" sz="1400">
            <a:effectLst/>
            <a:latin typeface="Arial" panose="020B0604020202020204" pitchFamily="34" charset="0"/>
            <a:cs typeface="Arial" panose="020B0604020202020204" pitchFamily="34" charset="0"/>
          </a:endParaRPr>
        </a:p>
        <a:p>
          <a:r>
            <a:rPr lang="en-GB" sz="1400" b="1">
              <a:latin typeface="Arial" panose="020B0604020202020204" pitchFamily="34" charset="0"/>
              <a:cs typeface="Arial" panose="020B0604020202020204" pitchFamily="34" charset="0"/>
            </a:rPr>
            <a:t>Please note these have been indexed to 9/10 using steel index and then indexed from 9/10 to 15/16 using RPI.</a:t>
          </a:r>
        </a:p>
      </xdr:txBody>
    </xdr:sp>
    <xdr:clientData/>
  </xdr:twoCellAnchor>
  <xdr:twoCellAnchor>
    <xdr:from>
      <xdr:col>5</xdr:col>
      <xdr:colOff>78074</xdr:colOff>
      <xdr:row>35</xdr:row>
      <xdr:rowOff>171764</xdr:rowOff>
    </xdr:from>
    <xdr:to>
      <xdr:col>7</xdr:col>
      <xdr:colOff>1467788</xdr:colOff>
      <xdr:row>41</xdr:row>
      <xdr:rowOff>171763</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120328" y="7292092"/>
          <a:ext cx="4184755" cy="12179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This section contains the Ofgem provided unit costs in 9/10 prices and these are indexed to 15/16 using RPI. </a:t>
          </a:r>
          <a:r>
            <a:rPr lang="en-GB" sz="1400" b="1">
              <a:latin typeface="Arial" panose="020B0604020202020204" pitchFamily="34" charset="0"/>
              <a:cs typeface="Arial" panose="020B0604020202020204" pitchFamily="34" charset="0"/>
            </a:rPr>
            <a:t>Please</a:t>
          </a:r>
          <a:r>
            <a:rPr lang="en-GB" sz="1400" b="1" baseline="0">
              <a:latin typeface="Arial" panose="020B0604020202020204" pitchFamily="34" charset="0"/>
              <a:cs typeface="Arial" panose="020B0604020202020204" pitchFamily="34" charset="0"/>
            </a:rPr>
            <a:t> </a:t>
          </a:r>
          <a:r>
            <a:rPr lang="en-GB" sz="1400" b="1">
              <a:latin typeface="Arial" panose="020B0604020202020204" pitchFamily="34" charset="0"/>
              <a:cs typeface="Arial" panose="020B0604020202020204" pitchFamily="34" charset="0"/>
            </a:rPr>
            <a:t>note</a:t>
          </a:r>
          <a:r>
            <a:rPr lang="en-GB" sz="1400" b="1" baseline="0">
              <a:latin typeface="Arial" panose="020B0604020202020204" pitchFamily="34" charset="0"/>
              <a:cs typeface="Arial" panose="020B0604020202020204" pitchFamily="34" charset="0"/>
            </a:rPr>
            <a:t> because of the sensitivity of these numbers we have used different numbers for illustration purposes.</a:t>
          </a:r>
          <a:endParaRPr lang="en-GB" sz="1400" b="1">
            <a:latin typeface="Arial" panose="020B0604020202020204" pitchFamily="34" charset="0"/>
            <a:cs typeface="Arial" panose="020B0604020202020204" pitchFamily="34" charset="0"/>
          </a:endParaRPr>
        </a:p>
      </xdr:txBody>
    </xdr:sp>
    <xdr:clientData/>
  </xdr:twoCellAnchor>
  <xdr:twoCellAnchor>
    <xdr:from>
      <xdr:col>10</xdr:col>
      <xdr:colOff>140533</xdr:colOff>
      <xdr:row>93</xdr:row>
      <xdr:rowOff>171762</xdr:rowOff>
    </xdr:from>
    <xdr:to>
      <xdr:col>13</xdr:col>
      <xdr:colOff>624590</xdr:colOff>
      <xdr:row>105</xdr:row>
      <xdr:rowOff>62459</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5536681" y="19143688"/>
          <a:ext cx="4465819" cy="2326599"/>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i="0" u="none" strike="noStrike">
              <a:solidFill>
                <a:schemeClr val="dk1"/>
              </a:solidFill>
              <a:effectLst/>
              <a:latin typeface="Arial" panose="020B0604020202020204" pitchFamily="34" charset="0"/>
              <a:ea typeface="+mn-ea"/>
              <a:cs typeface="Arial" panose="020B0604020202020204" pitchFamily="34" charset="0"/>
            </a:rPr>
            <a:t>This table calculates the total capital cost for a range of distances and peak day flowrates. This is done by multiplying the pipe laying unit cost from table 2 by the distance and adding the non-distance related cost from step 3. Additional costs are included for pipeline distances at 25km and over (£100k) with an extra increment (£100k) at 50km as an estimate of additional costs as distance increases. </a:t>
          </a:r>
          <a:r>
            <a:rPr lang="en-GB" sz="1400">
              <a:latin typeface="Arial" panose="020B0604020202020204" pitchFamily="34" charset="0"/>
              <a:cs typeface="Arial" panose="020B0604020202020204" pitchFamily="34" charset="0"/>
            </a:rPr>
            <a:t> </a:t>
          </a:r>
        </a:p>
        <a:p>
          <a:r>
            <a:rPr lang="en-GB" sz="1400" b="1">
              <a:latin typeface="Arial" panose="020B0604020202020204" pitchFamily="34" charset="0"/>
              <a:cs typeface="Arial" panose="020B0604020202020204" pitchFamily="34" charset="0"/>
            </a:rPr>
            <a:t>Please note these have been indexed to 15/16 prices using RPI.</a:t>
          </a:r>
        </a:p>
      </xdr:txBody>
    </xdr:sp>
    <xdr:clientData/>
  </xdr:twoCellAnchor>
  <xdr:twoCellAnchor>
    <xdr:from>
      <xdr:col>2</xdr:col>
      <xdr:colOff>46845</xdr:colOff>
      <xdr:row>116</xdr:row>
      <xdr:rowOff>15613</xdr:rowOff>
    </xdr:from>
    <xdr:to>
      <xdr:col>4</xdr:col>
      <xdr:colOff>1264795</xdr:colOff>
      <xdr:row>121</xdr:row>
      <xdr:rowOff>78073</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2701353" y="21360982"/>
          <a:ext cx="3950532" cy="1077419"/>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i="0">
              <a:solidFill>
                <a:schemeClr val="dk1"/>
              </a:solidFill>
              <a:effectLst/>
              <a:latin typeface="Arial" panose="020B0604020202020204" pitchFamily="34" charset="0"/>
              <a:ea typeface="+mn-ea"/>
              <a:cs typeface="Arial" panose="020B0604020202020204" pitchFamily="34" charset="0"/>
            </a:rPr>
            <a:t>This table shows how the ten year discount factor used in this model is calculated and this discount factor is used to calculate the annuitised cost. </a:t>
          </a:r>
          <a:r>
            <a:rPr lang="en-GB" sz="1400">
              <a:solidFill>
                <a:schemeClr val="dk1"/>
              </a:solidFill>
              <a:effectLst/>
              <a:latin typeface="Arial" panose="020B0604020202020204" pitchFamily="34" charset="0"/>
              <a:ea typeface="+mn-ea"/>
              <a:cs typeface="Arial" panose="020B0604020202020204" pitchFamily="34" charset="0"/>
            </a:rPr>
            <a:t> </a:t>
          </a:r>
          <a:endParaRPr lang="en-GB" sz="1400">
            <a:effectLst/>
            <a:latin typeface="Arial" panose="020B0604020202020204" pitchFamily="34" charset="0"/>
            <a:cs typeface="Arial" panose="020B0604020202020204" pitchFamily="34" charset="0"/>
          </a:endParaRPr>
        </a:p>
      </xdr:txBody>
    </xdr:sp>
    <xdr:clientData/>
  </xdr:twoCellAnchor>
  <xdr:twoCellAnchor>
    <xdr:from>
      <xdr:col>10</xdr:col>
      <xdr:colOff>78073</xdr:colOff>
      <xdr:row>135</xdr:row>
      <xdr:rowOff>62457</xdr:rowOff>
    </xdr:from>
    <xdr:to>
      <xdr:col>13</xdr:col>
      <xdr:colOff>249837</xdr:colOff>
      <xdr:row>141</xdr:row>
      <xdr:rowOff>93688</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4037663" y="25264670"/>
          <a:ext cx="4153526" cy="1249182"/>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i="0" u="none" strike="noStrike">
              <a:solidFill>
                <a:schemeClr val="dk1"/>
              </a:solidFill>
              <a:effectLst/>
              <a:latin typeface="Arial" panose="020B0604020202020204" pitchFamily="34" charset="0"/>
              <a:ea typeface="+mn-ea"/>
              <a:cs typeface="Arial" panose="020B0604020202020204" pitchFamily="34" charset="0"/>
            </a:rPr>
            <a:t>This table calculates the total project cost per annum made up of annuitised capital costs and ongoing (revenue) costs over a ten year project life using the costs from step 4 and the 10 year discount factor from step 5.</a:t>
          </a:r>
          <a:br>
            <a:rPr lang="en-GB" sz="1400" b="0" i="0" u="none" strike="noStrike">
              <a:solidFill>
                <a:schemeClr val="dk1"/>
              </a:solidFill>
              <a:effectLst/>
              <a:latin typeface="Arial" panose="020B0604020202020204" pitchFamily="34" charset="0"/>
              <a:ea typeface="+mn-ea"/>
              <a:cs typeface="Arial" panose="020B0604020202020204" pitchFamily="34" charset="0"/>
            </a:rPr>
          </a:br>
          <a:endParaRPr lang="en-GB" sz="1400">
            <a:latin typeface="Arial" panose="020B0604020202020204" pitchFamily="34" charset="0"/>
            <a:cs typeface="Arial" panose="020B0604020202020204" pitchFamily="34" charset="0"/>
          </a:endParaRPr>
        </a:p>
      </xdr:txBody>
    </xdr:sp>
    <xdr:clientData/>
  </xdr:twoCellAnchor>
  <xdr:twoCellAnchor>
    <xdr:from>
      <xdr:col>10</xdr:col>
      <xdr:colOff>93687</xdr:colOff>
      <xdr:row>157</xdr:row>
      <xdr:rowOff>202990</xdr:rowOff>
    </xdr:from>
    <xdr:to>
      <xdr:col>13</xdr:col>
      <xdr:colOff>733894</xdr:colOff>
      <xdr:row>166</xdr:row>
      <xdr:rowOff>1</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15708441" y="32369383"/>
          <a:ext cx="4621969" cy="1623938"/>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lang="en-GB" sz="1400">
              <a:latin typeface="Arial" panose="020B0604020202020204" pitchFamily="34" charset="0"/>
              <a:cs typeface="Arial" panose="020B0604020202020204" pitchFamily="34" charset="0"/>
            </a:rPr>
            <a:t>This table calculates the ongoing costs of the hypothetical pipeline based on a number of assumptions and estimates. The total for including these costs are through a combination of adjustments that in total provide the assumption for the annual maintenance costs associated to the pipeline. These costs increase in steps based on flow rates and distances.</a:t>
          </a:r>
        </a:p>
        <a:p>
          <a:pPr>
            <a:lnSpc>
              <a:spcPts val="1500"/>
            </a:lnSpc>
          </a:pPr>
          <a:endParaRPr lang="en-GB" sz="1400">
            <a:latin typeface="Arial" panose="020B0604020202020204" pitchFamily="34" charset="0"/>
            <a:cs typeface="Arial" panose="020B0604020202020204" pitchFamily="34" charset="0"/>
          </a:endParaRPr>
        </a:p>
      </xdr:txBody>
    </xdr:sp>
    <xdr:clientData/>
  </xdr:twoCellAnchor>
  <xdr:twoCellAnchor>
    <xdr:from>
      <xdr:col>8</xdr:col>
      <xdr:colOff>109302</xdr:colOff>
      <xdr:row>178</xdr:row>
      <xdr:rowOff>15617</xdr:rowOff>
    </xdr:from>
    <xdr:to>
      <xdr:col>11</xdr:col>
      <xdr:colOff>1249181</xdr:colOff>
      <xdr:row>180</xdr:row>
      <xdr:rowOff>46844</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2991474" y="36444838"/>
          <a:ext cx="5199715" cy="421596"/>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1">
              <a:latin typeface="Arial" panose="020B0604020202020204" pitchFamily="34" charset="0"/>
              <a:cs typeface="Arial" panose="020B0604020202020204" pitchFamily="34" charset="0"/>
            </a:rPr>
            <a:t>Please note these have been indexed to 15/16 using RPI.</a:t>
          </a:r>
        </a:p>
      </xdr:txBody>
    </xdr:sp>
    <xdr:clientData/>
  </xdr:twoCellAnchor>
  <xdr:twoCellAnchor>
    <xdr:from>
      <xdr:col>8</xdr:col>
      <xdr:colOff>78074</xdr:colOff>
      <xdr:row>188</xdr:row>
      <xdr:rowOff>171763</xdr:rowOff>
    </xdr:from>
    <xdr:to>
      <xdr:col>11</xdr:col>
      <xdr:colOff>296680</xdr:colOff>
      <xdr:row>195</xdr:row>
      <xdr:rowOff>15615</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1882828" y="36070083"/>
          <a:ext cx="4278442" cy="1264794"/>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i="0" u="none" strike="noStrike">
              <a:solidFill>
                <a:schemeClr val="dk1"/>
              </a:solidFill>
              <a:effectLst/>
              <a:latin typeface="Arial" panose="020B0604020202020204" pitchFamily="34" charset="0"/>
              <a:ea typeface="+mn-ea"/>
              <a:cs typeface="Arial" panose="020B0604020202020204" pitchFamily="34" charset="0"/>
            </a:rPr>
            <a:t>This table calculates the supply point capacities using an average load factor of 75% of the SOQ. This is used to calculate the Annual Quantity AQ in GWh that will be used to calculate the cost per kWh.</a:t>
          </a:r>
          <a:r>
            <a:rPr lang="en-GB" sz="1400">
              <a:latin typeface="Arial" panose="020B0604020202020204" pitchFamily="34" charset="0"/>
              <a:cs typeface="Arial" panose="020B0604020202020204" pitchFamily="34" charset="0"/>
            </a:rPr>
            <a:t> </a:t>
          </a:r>
        </a:p>
      </xdr:txBody>
    </xdr:sp>
    <xdr:clientData/>
  </xdr:twoCellAnchor>
  <xdr:twoCellAnchor>
    <xdr:from>
      <xdr:col>10</xdr:col>
      <xdr:colOff>124919</xdr:colOff>
      <xdr:row>213</xdr:row>
      <xdr:rowOff>171760</xdr:rowOff>
    </xdr:from>
    <xdr:to>
      <xdr:col>13</xdr:col>
      <xdr:colOff>187377</xdr:colOff>
      <xdr:row>222</xdr:row>
      <xdr:rowOff>0</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15521067" y="43440244"/>
          <a:ext cx="4044220" cy="1655166"/>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500"/>
            </a:lnSpc>
            <a:spcBef>
              <a:spcPts val="0"/>
            </a:spcBef>
            <a:spcAft>
              <a:spcPts val="0"/>
            </a:spcAft>
            <a:buClrTx/>
            <a:buSzTx/>
            <a:buFontTx/>
            <a:buNone/>
            <a:tabLst/>
            <a:defRPr/>
          </a:pPr>
          <a:r>
            <a:rPr lang="en-GB" sz="1400" b="0" i="0" u="none" strike="noStrike">
              <a:solidFill>
                <a:schemeClr val="dk1"/>
              </a:solidFill>
              <a:effectLst/>
              <a:latin typeface="Arial" panose="020B0604020202020204" pitchFamily="34" charset="0"/>
              <a:ea typeface="+mn-ea"/>
              <a:cs typeface="Arial" panose="020B0604020202020204" pitchFamily="34" charset="0"/>
            </a:rPr>
            <a:t>This table divides the annuitised ongoing costs in table 7  by the annual quantities corresponding to the supply point capacities using an average load factor of 75% to generate a matrix of unit cost in table 8 (supply point capacities), expressed in p/kWh for a range of supply point capacities and distances.</a:t>
          </a:r>
          <a:r>
            <a:rPr lang="en-GB" sz="1400">
              <a:latin typeface="Arial" panose="020B0604020202020204" pitchFamily="34" charset="0"/>
              <a:cs typeface="Arial" panose="020B0604020202020204" pitchFamily="34" charset="0"/>
            </a:rPr>
            <a:t> </a:t>
          </a:r>
          <a:endParaRPr lang="en-GB" sz="1400">
            <a:effectLst/>
            <a:latin typeface="Arial" panose="020B0604020202020204" pitchFamily="34" charset="0"/>
            <a:cs typeface="Arial" panose="020B0604020202020204" pitchFamily="34" charset="0"/>
          </a:endParaRPr>
        </a:p>
      </xdr:txBody>
    </xdr:sp>
    <xdr:clientData/>
  </xdr:twoCellAnchor>
  <xdr:twoCellAnchor>
    <xdr:from>
      <xdr:col>13</xdr:col>
      <xdr:colOff>702662</xdr:colOff>
      <xdr:row>240</xdr:row>
      <xdr:rowOff>62458</xdr:rowOff>
    </xdr:from>
    <xdr:to>
      <xdr:col>17</xdr:col>
      <xdr:colOff>421597</xdr:colOff>
      <xdr:row>252</xdr:row>
      <xdr:rowOff>140533</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20299178" y="49014712"/>
          <a:ext cx="5215329" cy="2357829"/>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0" i="0" u="none" strike="noStrike">
              <a:solidFill>
                <a:schemeClr val="dk1"/>
              </a:solidFill>
              <a:effectLst/>
              <a:latin typeface="Arial" panose="020B0604020202020204" pitchFamily="34" charset="0"/>
              <a:ea typeface="+mn-ea"/>
              <a:cs typeface="Arial" panose="020B0604020202020204" pitchFamily="34" charset="0"/>
            </a:rPr>
            <a:t>This section calculates the distance and non-distance related parts of the function and this is done by means of regression analysis on the data. The functions are expressed as power relationships. The zero distance p/kWh is from step 9. The distance related average p/kWh is calculated by subtracting the 0km cost per kWh value from the 50 km cost per kWh in step 9 and dividing by 50. These are used to create linear equations that represent the non-distance and distance related elements of the NTS Optional Commodity charge function. </a:t>
          </a:r>
          <a:r>
            <a:rPr lang="en-GB" sz="1400">
              <a:latin typeface="Arial" panose="020B0604020202020204" pitchFamily="34" charset="0"/>
              <a:cs typeface="Arial" panose="020B0604020202020204" pitchFamily="34" charset="0"/>
            </a:rPr>
            <a:t> </a:t>
          </a:r>
        </a:p>
      </xdr:txBody>
    </xdr:sp>
    <xdr:clientData/>
  </xdr:twoCellAnchor>
  <xdr:oneCellAnchor>
    <xdr:from>
      <xdr:col>3</xdr:col>
      <xdr:colOff>655820</xdr:colOff>
      <xdr:row>44</xdr:row>
      <xdr:rowOff>390369</xdr:rowOff>
    </xdr:from>
    <xdr:ext cx="184731" cy="264560"/>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4715656" y="91346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xdr:from>
      <xdr:col>3</xdr:col>
      <xdr:colOff>93688</xdr:colOff>
      <xdr:row>43</xdr:row>
      <xdr:rowOff>202991</xdr:rowOff>
    </xdr:from>
    <xdr:to>
      <xdr:col>6</xdr:col>
      <xdr:colOff>905656</xdr:colOff>
      <xdr:row>51</xdr:row>
      <xdr:rowOff>31230</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4153524" y="8744261"/>
          <a:ext cx="4793730" cy="1873772"/>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latin typeface="Arial" panose="020B0604020202020204" pitchFamily="34" charset="0"/>
              <a:ea typeface="+mn-ea"/>
              <a:cs typeface="Arial" panose="020B0604020202020204" pitchFamily="34" charset="0"/>
            </a:rPr>
            <a:t>This table calculates the split between the fixed and variable costs for the new pipe sizes. This is because the</a:t>
          </a:r>
          <a:r>
            <a:rPr lang="en-GB" sz="1400" baseline="0">
              <a:solidFill>
                <a:schemeClr val="dk1"/>
              </a:solidFill>
              <a:latin typeface="Arial" panose="020B0604020202020204" pitchFamily="34" charset="0"/>
              <a:ea typeface="+mn-ea"/>
              <a:cs typeface="Arial" panose="020B0604020202020204" pitchFamily="34" charset="0"/>
            </a:rPr>
            <a:t> </a:t>
          </a:r>
          <a:r>
            <a:rPr lang="en-GB" sz="1400">
              <a:solidFill>
                <a:schemeClr val="dk1"/>
              </a:solidFill>
              <a:latin typeface="Arial" panose="020B0604020202020204" pitchFamily="34" charset="0"/>
              <a:ea typeface="+mn-ea"/>
              <a:cs typeface="Arial" panose="020B0604020202020204" pitchFamily="34" charset="0"/>
            </a:rPr>
            <a:t>cost  of the  new pipe sizes are given as  composite values and we need to split  the costs into distance and non -distance costs to maintain the same structure as the original formula. </a:t>
          </a:r>
          <a:r>
            <a:rPr lang="en-GB" sz="1400" b="1">
              <a:solidFill>
                <a:schemeClr val="dk1"/>
              </a:solidFill>
              <a:latin typeface="Arial" panose="020B0604020202020204" pitchFamily="34" charset="0"/>
              <a:ea typeface="+mn-ea"/>
              <a:cs typeface="Arial" panose="020B0604020202020204" pitchFamily="34" charset="0"/>
            </a:rPr>
            <a:t>Please</a:t>
          </a:r>
          <a:r>
            <a:rPr lang="en-GB" sz="1400">
              <a:solidFill>
                <a:schemeClr val="dk1"/>
              </a:solidFill>
              <a:latin typeface="Arial" panose="020B0604020202020204" pitchFamily="34" charset="0"/>
              <a:ea typeface="+mn-ea"/>
              <a:cs typeface="Arial" panose="020B0604020202020204" pitchFamily="34" charset="0"/>
            </a:rPr>
            <a:t> </a:t>
          </a:r>
          <a:r>
            <a:rPr lang="en-GB" sz="1400" b="1">
              <a:solidFill>
                <a:schemeClr val="dk1"/>
              </a:solidFill>
              <a:latin typeface="Arial" panose="020B0604020202020204" pitchFamily="34" charset="0"/>
              <a:ea typeface="+mn-ea"/>
              <a:cs typeface="Arial" panose="020B0604020202020204" pitchFamily="34" charset="0"/>
            </a:rPr>
            <a:t>note because of the </a:t>
          </a:r>
          <a:r>
            <a:rPr lang="en-GB" sz="1400" b="1" baseline="0">
              <a:solidFill>
                <a:schemeClr val="dk1"/>
              </a:solidFill>
              <a:effectLst/>
              <a:latin typeface="Arial" panose="020B0604020202020204" pitchFamily="34" charset="0"/>
              <a:ea typeface="+mn-ea"/>
              <a:cs typeface="Arial" panose="020B0604020202020204" pitchFamily="34" charset="0"/>
            </a:rPr>
            <a:t>sensitivity of these numbers we have used different numbers for illustration purposes.</a:t>
          </a:r>
          <a:endParaRPr lang="en-GB" sz="1400">
            <a:effectLst/>
            <a:latin typeface="Arial" panose="020B0604020202020204" pitchFamily="34" charset="0"/>
            <a:cs typeface="Arial" panose="020B0604020202020204" pitchFamily="34" charset="0"/>
          </a:endParaRPr>
        </a:p>
        <a:p>
          <a:endParaRPr lang="en-GB" sz="1200">
            <a:latin typeface="Arial" panose="020B0604020202020204" pitchFamily="34" charset="0"/>
            <a:cs typeface="Arial" panose="020B0604020202020204" pitchFamily="34" charset="0"/>
          </a:endParaRPr>
        </a:p>
      </xdr:txBody>
    </xdr:sp>
    <xdr:clientData/>
  </xdr:twoCellAnchor>
  <xdr:twoCellAnchor>
    <xdr:from>
      <xdr:col>5</xdr:col>
      <xdr:colOff>78073</xdr:colOff>
      <xdr:row>54</xdr:row>
      <xdr:rowOff>15612</xdr:rowOff>
    </xdr:from>
    <xdr:to>
      <xdr:col>7</xdr:col>
      <xdr:colOff>1264796</xdr:colOff>
      <xdr:row>62</xdr:row>
      <xdr:rowOff>62457</xdr:rowOff>
    </xdr:to>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6901721" y="11211391"/>
          <a:ext cx="3981764" cy="1670779"/>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Arial" panose="020B0604020202020204" pitchFamily="34" charset="0"/>
              <a:ea typeface="+mn-ea"/>
              <a:cs typeface="Arial" panose="020B0604020202020204" pitchFamily="34" charset="0"/>
            </a:rPr>
            <a:t>This table contains a total value of some of the non-distance related costs (e.g. Pipeline connection, Pig traps, Calorimetry, Pressure reduction and volumetric control) for each of the peak day flowrates.</a:t>
          </a:r>
          <a:r>
            <a:rPr lang="en-GB" sz="1400">
              <a:solidFill>
                <a:schemeClr val="dk1"/>
              </a:solidFill>
              <a:effectLst/>
              <a:latin typeface="Arial" panose="020B0604020202020204" pitchFamily="34" charset="0"/>
              <a:ea typeface="+mn-ea"/>
              <a:cs typeface="Arial" panose="020B0604020202020204" pitchFamily="34" charset="0"/>
            </a:rPr>
            <a:t> </a:t>
          </a:r>
          <a:endParaRPr lang="en-GB" sz="14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400" b="1">
              <a:latin typeface="Arial" panose="020B0604020202020204" pitchFamily="34" charset="0"/>
              <a:cs typeface="Arial" panose="020B0604020202020204" pitchFamily="34" charset="0"/>
            </a:rPr>
            <a:t>Please note these have been indexed to 15/16 prices using RPI.</a:t>
          </a:r>
        </a:p>
      </xdr:txBody>
    </xdr:sp>
    <xdr:clientData/>
  </xdr:twoCellAnchor>
  <xdr:twoCellAnchor>
    <xdr:from>
      <xdr:col>12</xdr:col>
      <xdr:colOff>109302</xdr:colOff>
      <xdr:row>303</xdr:row>
      <xdr:rowOff>109305</xdr:rowOff>
    </xdr:from>
    <xdr:to>
      <xdr:col>15</xdr:col>
      <xdr:colOff>1061803</xdr:colOff>
      <xdr:row>309</xdr:row>
      <xdr:rowOff>171762</xdr:rowOff>
    </xdr:to>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18378564" y="61350371"/>
          <a:ext cx="5027952" cy="17488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500"/>
            </a:lnSpc>
            <a:spcBef>
              <a:spcPts val="0"/>
            </a:spcBef>
            <a:spcAft>
              <a:spcPts val="0"/>
            </a:spcAft>
            <a:buClrTx/>
            <a:buSzTx/>
            <a:buFontTx/>
            <a:buNone/>
            <a:tabLst/>
            <a:defRPr/>
          </a:pPr>
          <a:r>
            <a:rPr lang="en-GB" sz="1400">
              <a:solidFill>
                <a:schemeClr val="dk1"/>
              </a:solidFill>
              <a:effectLst/>
              <a:latin typeface="Arial" panose="020B0604020202020204" pitchFamily="34" charset="0"/>
              <a:ea typeface="+mn-ea"/>
              <a:cs typeface="Arial" panose="020B0604020202020204" pitchFamily="34" charset="0"/>
            </a:rPr>
            <a:t>This section contains the NTS Optional Commodity Charge formula that is produced from the previous steps. The formula is made up of the gradient and intercepts values from the two linear equations (non-distance and distance related). The first part of the equation covers the distance related element of the equation and the second part is the non-distance related part of the equation.</a:t>
          </a:r>
        </a:p>
        <a:p>
          <a:pPr>
            <a:lnSpc>
              <a:spcPts val="1500"/>
            </a:lnSpc>
          </a:pPr>
          <a:endParaRPr lang="en-GB" sz="1400">
            <a:latin typeface="Arial" panose="020B0604020202020204" pitchFamily="34" charset="0"/>
            <a:cs typeface="Arial" panose="020B0604020202020204" pitchFamily="34" charset="0"/>
          </a:endParaRPr>
        </a:p>
      </xdr:txBody>
    </xdr:sp>
    <xdr:clientData/>
  </xdr:twoCellAnchor>
  <xdr:twoCellAnchor>
    <xdr:from>
      <xdr:col>3</xdr:col>
      <xdr:colOff>140531</xdr:colOff>
      <xdr:row>78</xdr:row>
      <xdr:rowOff>15615</xdr:rowOff>
    </xdr:from>
    <xdr:to>
      <xdr:col>6</xdr:col>
      <xdr:colOff>249836</xdr:colOff>
      <xdr:row>84</xdr:row>
      <xdr:rowOff>15615</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6863933" y="11617377"/>
          <a:ext cx="4137911" cy="1217951"/>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This</a:t>
          </a:r>
          <a:r>
            <a:rPr lang="en-GB" sz="1400" baseline="0">
              <a:latin typeface="Arial" panose="020B0604020202020204" pitchFamily="34" charset="0"/>
              <a:cs typeface="Arial" panose="020B0604020202020204" pitchFamily="34" charset="0"/>
            </a:rPr>
            <a:t> table contains the indexed estimated embedded costs in the model. These cost are applied in table 4 and table 7.</a:t>
          </a:r>
        </a:p>
        <a:p>
          <a:pPr marL="0" marR="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Arial" panose="020B0604020202020204" pitchFamily="34" charset="0"/>
              <a:ea typeface="+mn-ea"/>
              <a:cs typeface="Arial" panose="020B0604020202020204" pitchFamily="34" charset="0"/>
            </a:rPr>
            <a:t>Please note these have been indexed to 15/16 prices using RPI.</a:t>
          </a:r>
          <a:endParaRPr lang="en-GB" sz="1400">
            <a:effectLst/>
            <a:latin typeface="Arial" panose="020B0604020202020204" pitchFamily="34" charset="0"/>
            <a:cs typeface="Arial" panose="020B0604020202020204" pitchFamily="34" charset="0"/>
          </a:endParaRPr>
        </a:p>
        <a:p>
          <a:r>
            <a:rPr lang="en-GB" sz="1400" baseline="0">
              <a:latin typeface="Arial" panose="020B0604020202020204" pitchFamily="34" charset="0"/>
              <a:cs typeface="Arial" panose="020B0604020202020204" pitchFamily="34" charset="0"/>
            </a:rPr>
            <a:t>  </a:t>
          </a:r>
          <a:endParaRPr lang="en-GB" sz="14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ox.transmissioncapacityandcharging@nationalgrid.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02"/>
  <sheetViews>
    <sheetView showGridLines="0" tabSelected="1" zoomScale="85" zoomScaleNormal="85" workbookViewId="0">
      <selection activeCell="B4" sqref="B4"/>
    </sheetView>
  </sheetViews>
  <sheetFormatPr defaultRowHeight="18" x14ac:dyDescent="0.25"/>
  <cols>
    <col min="1" max="1" width="8.88671875" style="114"/>
    <col min="2" max="2" width="102.21875" style="175" customWidth="1"/>
    <col min="3" max="16384" width="8.88671875" style="114"/>
  </cols>
  <sheetData>
    <row r="1" spans="1:2" x14ac:dyDescent="0.25">
      <c r="A1" s="114" t="s">
        <v>153</v>
      </c>
    </row>
    <row r="2" spans="1:2" x14ac:dyDescent="0.25">
      <c r="A2" s="114" t="s">
        <v>147</v>
      </c>
      <c r="B2" s="192" t="s">
        <v>148</v>
      </c>
    </row>
    <row r="4" spans="1:2" ht="36" x14ac:dyDescent="0.25">
      <c r="B4" s="169" t="s">
        <v>83</v>
      </c>
    </row>
    <row r="5" spans="1:2" x14ac:dyDescent="0.25">
      <c r="B5" s="169"/>
    </row>
    <row r="6" spans="1:2" x14ac:dyDescent="0.25">
      <c r="B6" s="188" t="s">
        <v>103</v>
      </c>
    </row>
    <row r="7" spans="1:2" ht="231" customHeight="1" x14ac:dyDescent="0.25">
      <c r="B7" s="170" t="s">
        <v>154</v>
      </c>
    </row>
    <row r="8" spans="1:2" x14ac:dyDescent="0.25">
      <c r="B8" s="170"/>
    </row>
    <row r="9" spans="1:2" x14ac:dyDescent="0.25">
      <c r="B9" s="187" t="s">
        <v>104</v>
      </c>
    </row>
    <row r="10" spans="1:2" ht="54" x14ac:dyDescent="0.25">
      <c r="B10" s="171" t="s">
        <v>115</v>
      </c>
    </row>
    <row r="11" spans="1:2" x14ac:dyDescent="0.25">
      <c r="B11" s="170"/>
    </row>
    <row r="12" spans="1:2" ht="72" x14ac:dyDescent="0.25">
      <c r="B12" s="170" t="s">
        <v>133</v>
      </c>
    </row>
    <row r="13" spans="1:2" x14ac:dyDescent="0.25">
      <c r="B13" s="170"/>
    </row>
    <row r="14" spans="1:2" ht="36" x14ac:dyDescent="0.25">
      <c r="B14" s="170" t="s">
        <v>118</v>
      </c>
    </row>
    <row r="15" spans="1:2" x14ac:dyDescent="0.25">
      <c r="B15" s="170"/>
    </row>
    <row r="16" spans="1:2" ht="142.5" customHeight="1" x14ac:dyDescent="0.25">
      <c r="B16" s="170" t="s">
        <v>142</v>
      </c>
    </row>
    <row r="18" spans="2:2" x14ac:dyDescent="0.25">
      <c r="B18" s="188" t="s">
        <v>78</v>
      </c>
    </row>
    <row r="20" spans="2:2" x14ac:dyDescent="0.25">
      <c r="B20" s="172" t="s">
        <v>35</v>
      </c>
    </row>
    <row r="21" spans="2:2" ht="36" x14ac:dyDescent="0.25">
      <c r="B21" s="173" t="s">
        <v>100</v>
      </c>
    </row>
    <row r="23" spans="2:2" x14ac:dyDescent="0.25">
      <c r="B23" s="172" t="s">
        <v>38</v>
      </c>
    </row>
    <row r="24" spans="2:2" ht="38.25" customHeight="1" x14ac:dyDescent="0.25">
      <c r="B24" s="173" t="s">
        <v>116</v>
      </c>
    </row>
    <row r="25" spans="2:2" x14ac:dyDescent="0.25">
      <c r="B25" s="173"/>
    </row>
    <row r="26" spans="2:2" x14ac:dyDescent="0.25">
      <c r="B26" s="172" t="s">
        <v>66</v>
      </c>
    </row>
    <row r="27" spans="2:2" ht="36" x14ac:dyDescent="0.25">
      <c r="B27" s="191" t="s">
        <v>143</v>
      </c>
    </row>
    <row r="29" spans="2:2" x14ac:dyDescent="0.25">
      <c r="B29" s="172" t="s">
        <v>69</v>
      </c>
    </row>
    <row r="30" spans="2:2" ht="72" x14ac:dyDescent="0.25">
      <c r="B30" s="174" t="s">
        <v>134</v>
      </c>
    </row>
    <row r="32" spans="2:2" x14ac:dyDescent="0.25">
      <c r="B32" s="172" t="s">
        <v>70</v>
      </c>
    </row>
    <row r="33" spans="2:2" ht="36" x14ac:dyDescent="0.25">
      <c r="B33" s="173" t="s">
        <v>101</v>
      </c>
    </row>
    <row r="35" spans="2:2" x14ac:dyDescent="0.25">
      <c r="B35" s="172" t="s">
        <v>79</v>
      </c>
    </row>
    <row r="36" spans="2:2" ht="36" customHeight="1" x14ac:dyDescent="0.25">
      <c r="B36" s="174" t="s">
        <v>132</v>
      </c>
    </row>
    <row r="38" spans="2:2" x14ac:dyDescent="0.25">
      <c r="B38" s="172" t="s">
        <v>72</v>
      </c>
    </row>
    <row r="39" spans="2:2" ht="198" x14ac:dyDescent="0.25">
      <c r="B39" s="177" t="s">
        <v>151</v>
      </c>
    </row>
    <row r="41" spans="2:2" x14ac:dyDescent="0.25">
      <c r="B41" s="172" t="s">
        <v>73</v>
      </c>
    </row>
    <row r="42" spans="2:2" ht="36" x14ac:dyDescent="0.25">
      <c r="B42" s="173" t="s">
        <v>117</v>
      </c>
    </row>
    <row r="44" spans="2:2" x14ac:dyDescent="0.25">
      <c r="B44" s="172" t="s">
        <v>75</v>
      </c>
    </row>
    <row r="45" spans="2:2" ht="54" x14ac:dyDescent="0.25">
      <c r="B45" s="173" t="s">
        <v>135</v>
      </c>
    </row>
    <row r="47" spans="2:2" x14ac:dyDescent="0.25">
      <c r="B47" s="172" t="s">
        <v>68</v>
      </c>
    </row>
    <row r="48" spans="2:2" ht="91.5" customHeight="1" x14ac:dyDescent="0.25">
      <c r="B48" s="173" t="s">
        <v>144</v>
      </c>
    </row>
    <row r="49" spans="2:2" x14ac:dyDescent="0.25">
      <c r="B49" s="173"/>
    </row>
    <row r="50" spans="2:2" x14ac:dyDescent="0.25">
      <c r="B50" s="172" t="s">
        <v>77</v>
      </c>
    </row>
    <row r="51" spans="2:2" ht="72" x14ac:dyDescent="0.25">
      <c r="B51" s="173" t="s">
        <v>145</v>
      </c>
    </row>
    <row r="52" spans="2:2" x14ac:dyDescent="0.25">
      <c r="B52" s="173"/>
    </row>
    <row r="53" spans="2:2" x14ac:dyDescent="0.25">
      <c r="B53" s="173"/>
    </row>
    <row r="54" spans="2:2" x14ac:dyDescent="0.25">
      <c r="B54" s="173"/>
    </row>
    <row r="55" spans="2:2" x14ac:dyDescent="0.25">
      <c r="B55" s="188" t="s">
        <v>82</v>
      </c>
    </row>
    <row r="56" spans="2:2" x14ac:dyDescent="0.25">
      <c r="B56" s="114"/>
    </row>
    <row r="57" spans="2:2" ht="54" x14ac:dyDescent="0.25">
      <c r="B57" s="175" t="s">
        <v>140</v>
      </c>
    </row>
    <row r="59" spans="2:2" x14ac:dyDescent="0.25">
      <c r="B59" s="169" t="s">
        <v>121</v>
      </c>
    </row>
    <row r="61" spans="2:2" ht="37.5" customHeight="1" x14ac:dyDescent="0.25">
      <c r="B61" s="175" t="s">
        <v>141</v>
      </c>
    </row>
    <row r="63" spans="2:2" x14ac:dyDescent="0.25">
      <c r="B63" s="169" t="s">
        <v>122</v>
      </c>
    </row>
    <row r="64" spans="2:2" x14ac:dyDescent="0.25">
      <c r="B64" s="174" t="s">
        <v>138</v>
      </c>
    </row>
    <row r="65" spans="2:2" ht="18.75" customHeight="1" x14ac:dyDescent="0.25">
      <c r="B65" s="174" t="s">
        <v>139</v>
      </c>
    </row>
    <row r="66" spans="2:2" ht="18.75" customHeight="1" x14ac:dyDescent="0.25">
      <c r="B66" s="174" t="s">
        <v>120</v>
      </c>
    </row>
    <row r="67" spans="2:2" ht="18.75" customHeight="1" x14ac:dyDescent="0.25">
      <c r="B67" s="174"/>
    </row>
    <row r="68" spans="2:2" ht="18.75" customHeight="1" x14ac:dyDescent="0.25">
      <c r="B68" s="189" t="s">
        <v>123</v>
      </c>
    </row>
    <row r="69" spans="2:2" ht="18.75" customHeight="1" x14ac:dyDescent="0.25">
      <c r="B69" s="174" t="s">
        <v>124</v>
      </c>
    </row>
    <row r="71" spans="2:2" x14ac:dyDescent="0.25">
      <c r="B71" s="172" t="s">
        <v>35</v>
      </c>
    </row>
    <row r="72" spans="2:2" ht="36" x14ac:dyDescent="0.25">
      <c r="B72" s="175" t="s">
        <v>102</v>
      </c>
    </row>
    <row r="74" spans="2:2" x14ac:dyDescent="0.25">
      <c r="B74" s="172" t="s">
        <v>38</v>
      </c>
    </row>
    <row r="75" spans="2:2" ht="164.25" customHeight="1" x14ac:dyDescent="0.25">
      <c r="B75" s="175" t="s">
        <v>146</v>
      </c>
    </row>
    <row r="76" spans="2:2" x14ac:dyDescent="0.25">
      <c r="B76" s="173"/>
    </row>
    <row r="77" spans="2:2" x14ac:dyDescent="0.25">
      <c r="B77" s="172" t="s">
        <v>66</v>
      </c>
    </row>
    <row r="78" spans="2:2" ht="36" x14ac:dyDescent="0.25">
      <c r="B78" s="175" t="s">
        <v>150</v>
      </c>
    </row>
    <row r="80" spans="2:2" x14ac:dyDescent="0.25">
      <c r="B80" s="172" t="s">
        <v>69</v>
      </c>
    </row>
    <row r="81" spans="2:2" ht="54" x14ac:dyDescent="0.25">
      <c r="B81" s="190" t="s">
        <v>137</v>
      </c>
    </row>
    <row r="83" spans="2:2" x14ac:dyDescent="0.25">
      <c r="B83" s="172" t="s">
        <v>70</v>
      </c>
    </row>
    <row r="84" spans="2:2" x14ac:dyDescent="0.25">
      <c r="B84" s="173" t="s">
        <v>119</v>
      </c>
    </row>
    <row r="86" spans="2:2" x14ac:dyDescent="0.25">
      <c r="B86" s="172" t="s">
        <v>79</v>
      </c>
    </row>
    <row r="87" spans="2:2" x14ac:dyDescent="0.25">
      <c r="B87" s="173" t="s">
        <v>119</v>
      </c>
    </row>
    <row r="89" spans="2:2" x14ac:dyDescent="0.25">
      <c r="B89" s="172" t="s">
        <v>72</v>
      </c>
    </row>
    <row r="90" spans="2:2" x14ac:dyDescent="0.25">
      <c r="B90" s="174" t="s">
        <v>136</v>
      </c>
    </row>
    <row r="91" spans="2:2" ht="18.75" customHeight="1" x14ac:dyDescent="0.25">
      <c r="B91" s="114"/>
    </row>
    <row r="92" spans="2:2" ht="18.75" customHeight="1" x14ac:dyDescent="0.25">
      <c r="B92" s="172" t="s">
        <v>73</v>
      </c>
    </row>
    <row r="93" spans="2:2" ht="18.75" customHeight="1" x14ac:dyDescent="0.25">
      <c r="B93" s="174" t="s">
        <v>119</v>
      </c>
    </row>
    <row r="94" spans="2:2" ht="18.75" customHeight="1" x14ac:dyDescent="0.25">
      <c r="B94" s="174"/>
    </row>
    <row r="95" spans="2:2" ht="18.75" customHeight="1" x14ac:dyDescent="0.25">
      <c r="B95" s="172" t="s">
        <v>75</v>
      </c>
    </row>
    <row r="96" spans="2:2" ht="18.75" customHeight="1" x14ac:dyDescent="0.25">
      <c r="B96" s="173" t="s">
        <v>119</v>
      </c>
    </row>
    <row r="97" spans="2:2" ht="18.75" customHeight="1" x14ac:dyDescent="0.25">
      <c r="B97" s="174"/>
    </row>
    <row r="98" spans="2:2" ht="18.75" customHeight="1" x14ac:dyDescent="0.25">
      <c r="B98" s="172" t="s">
        <v>68</v>
      </c>
    </row>
    <row r="99" spans="2:2" ht="18.75" customHeight="1" x14ac:dyDescent="0.25">
      <c r="B99" s="173" t="s">
        <v>119</v>
      </c>
    </row>
    <row r="100" spans="2:2" x14ac:dyDescent="0.25">
      <c r="B100" s="176"/>
    </row>
    <row r="101" spans="2:2" x14ac:dyDescent="0.25">
      <c r="B101" s="172" t="s">
        <v>77</v>
      </c>
    </row>
    <row r="102" spans="2:2" x14ac:dyDescent="0.25">
      <c r="B102" s="173" t="s">
        <v>119</v>
      </c>
    </row>
  </sheetData>
  <hyperlinks>
    <hyperlink ref="B2" r:id="rId1" xr:uid="{00000000-0004-0000-0000-000000000000}"/>
  </hyperlinks>
  <pageMargins left="0.70866141732283472" right="0.70866141732283472" top="0.74803149606299213" bottom="0.74803149606299213" header="0.31496062992125984" footer="0.31496062992125984"/>
  <pageSetup paperSize="8" scale="98"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X243"/>
  <sheetViews>
    <sheetView showGridLines="0" showOutlineSymbols="0" topLeftCell="A49" zoomScale="61" zoomScaleNormal="61" zoomScaleSheetLayoutView="33" workbookViewId="0">
      <selection activeCell="F228" sqref="F228"/>
    </sheetView>
  </sheetViews>
  <sheetFormatPr defaultColWidth="16" defaultRowHeight="15.75" x14ac:dyDescent="0.25"/>
  <cols>
    <col min="1" max="1" width="21.77734375" style="22" customWidth="1"/>
    <col min="2" max="2" width="15.44140625" style="18" customWidth="1"/>
    <col min="3" max="3" width="16.44140625" style="18" bestFit="1" customWidth="1"/>
    <col min="4" max="6" width="15.5546875" style="18" customWidth="1"/>
    <col min="7" max="7" width="17.44140625" style="18" customWidth="1"/>
    <col min="8" max="8" width="15.5546875" style="18" customWidth="1"/>
    <col min="9" max="9" width="35.44140625" style="18" customWidth="1"/>
    <col min="10" max="13" width="15.5546875" style="18" customWidth="1"/>
    <col min="14" max="16384" width="16" style="18"/>
  </cols>
  <sheetData>
    <row r="1" spans="1:41" s="32" customFormat="1" x14ac:dyDescent="0.25">
      <c r="A1" s="9"/>
      <c r="AE1" s="16"/>
    </row>
    <row r="3" spans="1:41" s="32" customFormat="1" x14ac:dyDescent="0.25">
      <c r="A3" s="9" t="s">
        <v>35</v>
      </c>
    </row>
    <row r="4" spans="1:41" x14ac:dyDescent="0.25">
      <c r="A4" s="8"/>
    </row>
    <row r="5" spans="1:41" x14ac:dyDescent="0.25">
      <c r="A5" s="8" t="s">
        <v>36</v>
      </c>
      <c r="B5" s="15" t="s">
        <v>84</v>
      </c>
      <c r="C5" s="8" t="s">
        <v>0</v>
      </c>
      <c r="D5" s="8" t="s">
        <v>1</v>
      </c>
      <c r="E5" s="8" t="s">
        <v>2</v>
      </c>
      <c r="F5" s="8" t="s">
        <v>3</v>
      </c>
      <c r="G5" s="8" t="s">
        <v>4</v>
      </c>
      <c r="H5" s="8" t="s">
        <v>5</v>
      </c>
      <c r="I5" s="8" t="s">
        <v>6</v>
      </c>
      <c r="J5" s="8" t="s">
        <v>7</v>
      </c>
      <c r="K5" s="8"/>
      <c r="L5" s="8"/>
      <c r="M5" s="8"/>
      <c r="N5" s="8"/>
      <c r="AE5" s="15"/>
    </row>
    <row r="6" spans="1:41" x14ac:dyDescent="0.25">
      <c r="A6" s="8">
        <v>15</v>
      </c>
      <c r="B6" s="19">
        <f t="shared" ref="B6:B18" si="0">A6*10830000</f>
        <v>162450000</v>
      </c>
      <c r="C6" s="20">
        <v>450</v>
      </c>
      <c r="D6" s="20">
        <v>450</v>
      </c>
      <c r="E6" s="20">
        <v>450</v>
      </c>
      <c r="F6" s="20">
        <v>600</v>
      </c>
      <c r="G6" s="20">
        <v>600</v>
      </c>
      <c r="H6" s="20">
        <v>600</v>
      </c>
      <c r="I6" s="20">
        <v>600</v>
      </c>
      <c r="J6" s="20">
        <v>600</v>
      </c>
      <c r="K6" s="20"/>
      <c r="L6" s="20"/>
      <c r="M6" s="20"/>
      <c r="AE6" s="15"/>
    </row>
    <row r="7" spans="1:41" x14ac:dyDescent="0.25">
      <c r="A7" s="8">
        <v>12</v>
      </c>
      <c r="B7" s="19">
        <f t="shared" si="0"/>
        <v>129960000</v>
      </c>
      <c r="C7" s="20">
        <v>450</v>
      </c>
      <c r="D7" s="20">
        <v>450</v>
      </c>
      <c r="E7" s="20">
        <v>450</v>
      </c>
      <c r="F7" s="20">
        <v>450</v>
      </c>
      <c r="G7" s="20">
        <v>450</v>
      </c>
      <c r="H7" s="20">
        <v>600</v>
      </c>
      <c r="I7" s="20">
        <v>600</v>
      </c>
      <c r="J7" s="20">
        <v>600</v>
      </c>
      <c r="K7" s="20"/>
      <c r="L7" s="20"/>
      <c r="M7" s="20"/>
    </row>
    <row r="8" spans="1:41" x14ac:dyDescent="0.25">
      <c r="A8" s="8">
        <v>10</v>
      </c>
      <c r="B8" s="19">
        <f t="shared" si="0"/>
        <v>108300000</v>
      </c>
      <c r="C8" s="20">
        <v>300</v>
      </c>
      <c r="D8" s="20">
        <v>450</v>
      </c>
      <c r="E8" s="20">
        <v>450</v>
      </c>
      <c r="F8" s="20">
        <v>450</v>
      </c>
      <c r="G8" s="20">
        <v>450</v>
      </c>
      <c r="H8" s="20">
        <v>450</v>
      </c>
      <c r="I8" s="20">
        <v>600</v>
      </c>
      <c r="J8" s="20">
        <v>600</v>
      </c>
      <c r="K8" s="20"/>
      <c r="L8" s="20"/>
      <c r="M8" s="20"/>
    </row>
    <row r="9" spans="1:41" x14ac:dyDescent="0.25">
      <c r="A9" s="8">
        <v>7</v>
      </c>
      <c r="B9" s="19">
        <f t="shared" si="0"/>
        <v>75810000</v>
      </c>
      <c r="C9" s="20">
        <v>300</v>
      </c>
      <c r="D9" s="20">
        <v>300</v>
      </c>
      <c r="E9" s="20">
        <v>450</v>
      </c>
      <c r="F9" s="20">
        <v>450</v>
      </c>
      <c r="G9" s="20">
        <v>450</v>
      </c>
      <c r="H9" s="20">
        <v>450</v>
      </c>
      <c r="I9" s="20">
        <v>450</v>
      </c>
      <c r="J9" s="20">
        <v>450</v>
      </c>
      <c r="K9" s="20"/>
      <c r="L9" s="20"/>
      <c r="M9" s="20"/>
      <c r="AE9" s="10"/>
      <c r="AF9" s="10"/>
      <c r="AG9" s="15"/>
      <c r="AH9" s="10"/>
      <c r="AI9" s="10"/>
      <c r="AJ9" s="10"/>
      <c r="AK9" s="10"/>
      <c r="AL9" s="10"/>
      <c r="AM9" s="10"/>
      <c r="AN9" s="10"/>
      <c r="AO9" s="21"/>
    </row>
    <row r="10" spans="1:41" x14ac:dyDescent="0.25">
      <c r="A10" s="8">
        <v>5</v>
      </c>
      <c r="B10" s="19">
        <f t="shared" si="0"/>
        <v>54150000</v>
      </c>
      <c r="C10" s="20">
        <v>300</v>
      </c>
      <c r="D10" s="20">
        <v>300</v>
      </c>
      <c r="E10" s="20">
        <v>300</v>
      </c>
      <c r="F10" s="20">
        <v>300</v>
      </c>
      <c r="G10" s="20">
        <v>450</v>
      </c>
      <c r="H10" s="20">
        <v>450</v>
      </c>
      <c r="I10" s="20">
        <v>450</v>
      </c>
      <c r="J10" s="20">
        <v>450</v>
      </c>
      <c r="K10" s="20"/>
      <c r="L10" s="20"/>
      <c r="M10" s="20"/>
      <c r="AE10" s="15"/>
      <c r="AF10" s="15"/>
      <c r="AG10" s="10"/>
      <c r="AH10" s="10"/>
      <c r="AI10" s="10"/>
      <c r="AJ10" s="10"/>
      <c r="AK10" s="10"/>
      <c r="AL10" s="10"/>
      <c r="AM10" s="10"/>
      <c r="AN10" s="10"/>
      <c r="AO10" s="21"/>
    </row>
    <row r="11" spans="1:41" x14ac:dyDescent="0.25">
      <c r="A11" s="8">
        <v>4</v>
      </c>
      <c r="B11" s="19">
        <f t="shared" si="0"/>
        <v>43320000</v>
      </c>
      <c r="C11" s="20">
        <v>300</v>
      </c>
      <c r="D11" s="20">
        <v>300</v>
      </c>
      <c r="E11" s="20">
        <v>300</v>
      </c>
      <c r="F11" s="20">
        <v>300</v>
      </c>
      <c r="G11" s="20">
        <v>300</v>
      </c>
      <c r="H11" s="20">
        <v>300</v>
      </c>
      <c r="I11" s="20">
        <v>450</v>
      </c>
      <c r="J11" s="20">
        <v>450</v>
      </c>
      <c r="K11" s="20"/>
      <c r="L11" s="20"/>
      <c r="M11" s="20"/>
      <c r="AE11" s="10"/>
      <c r="AF11" s="11"/>
      <c r="AG11" s="10"/>
      <c r="AH11" s="10"/>
      <c r="AI11" s="10"/>
      <c r="AJ11" s="10"/>
      <c r="AK11" s="10"/>
      <c r="AL11" s="10"/>
      <c r="AM11" s="10"/>
      <c r="AN11" s="10"/>
      <c r="AO11" s="21"/>
    </row>
    <row r="12" spans="1:41" x14ac:dyDescent="0.25">
      <c r="A12" s="8">
        <v>3</v>
      </c>
      <c r="B12" s="19">
        <f t="shared" si="0"/>
        <v>32490000</v>
      </c>
      <c r="C12" s="20">
        <v>200</v>
      </c>
      <c r="D12" s="20">
        <v>300</v>
      </c>
      <c r="E12" s="20">
        <v>300</v>
      </c>
      <c r="F12" s="20">
        <v>300</v>
      </c>
      <c r="G12" s="20">
        <v>300</v>
      </c>
      <c r="H12" s="20">
        <v>300</v>
      </c>
      <c r="I12" s="20">
        <v>300</v>
      </c>
      <c r="J12" s="20">
        <v>300</v>
      </c>
      <c r="K12" s="20"/>
      <c r="L12" s="20"/>
      <c r="M12" s="20"/>
      <c r="AE12" s="10"/>
      <c r="AF12" s="11"/>
      <c r="AG12" s="10"/>
      <c r="AH12" s="10"/>
      <c r="AI12" s="10"/>
      <c r="AJ12" s="10"/>
      <c r="AK12" s="10"/>
      <c r="AL12" s="10"/>
      <c r="AM12" s="10"/>
      <c r="AN12" s="10"/>
      <c r="AO12" s="21"/>
    </row>
    <row r="13" spans="1:41" x14ac:dyDescent="0.25">
      <c r="A13" s="8">
        <v>2</v>
      </c>
      <c r="B13" s="19">
        <f t="shared" si="0"/>
        <v>21660000</v>
      </c>
      <c r="C13" s="20">
        <v>200</v>
      </c>
      <c r="D13" s="20">
        <v>200</v>
      </c>
      <c r="E13" s="20">
        <v>200</v>
      </c>
      <c r="F13" s="20">
        <v>300</v>
      </c>
      <c r="G13" s="20">
        <v>300</v>
      </c>
      <c r="H13" s="20">
        <v>300</v>
      </c>
      <c r="I13" s="20">
        <v>300</v>
      </c>
      <c r="J13" s="20">
        <v>300</v>
      </c>
      <c r="K13" s="20"/>
      <c r="L13" s="20"/>
      <c r="M13" s="20"/>
      <c r="AE13" s="10"/>
      <c r="AF13" s="11"/>
      <c r="AG13" s="10"/>
      <c r="AH13" s="10"/>
      <c r="AI13" s="10"/>
      <c r="AJ13" s="10"/>
      <c r="AK13" s="10"/>
      <c r="AL13" s="10"/>
      <c r="AM13" s="10"/>
      <c r="AN13" s="10"/>
      <c r="AO13" s="21"/>
    </row>
    <row r="14" spans="1:41" x14ac:dyDescent="0.25">
      <c r="A14" s="8">
        <v>1</v>
      </c>
      <c r="B14" s="19">
        <f t="shared" si="0"/>
        <v>10830000</v>
      </c>
      <c r="C14" s="20">
        <v>150</v>
      </c>
      <c r="D14" s="20">
        <v>150</v>
      </c>
      <c r="E14" s="20">
        <v>200</v>
      </c>
      <c r="F14" s="20">
        <v>200</v>
      </c>
      <c r="G14" s="20">
        <v>200</v>
      </c>
      <c r="H14" s="20">
        <v>200</v>
      </c>
      <c r="I14" s="20">
        <v>200</v>
      </c>
      <c r="J14" s="20">
        <v>200</v>
      </c>
      <c r="K14" s="20"/>
      <c r="L14" s="20"/>
      <c r="M14" s="20"/>
      <c r="AE14" s="10"/>
      <c r="AF14" s="11"/>
      <c r="AG14" s="10"/>
      <c r="AH14" s="10"/>
      <c r="AI14" s="10"/>
      <c r="AJ14" s="10"/>
      <c r="AK14" s="10"/>
      <c r="AL14" s="10"/>
      <c r="AM14" s="10"/>
      <c r="AN14" s="10"/>
      <c r="AO14" s="21"/>
    </row>
    <row r="15" spans="1:41" x14ac:dyDescent="0.25">
      <c r="A15" s="8">
        <v>0.5</v>
      </c>
      <c r="B15" s="19">
        <f t="shared" si="0"/>
        <v>5415000</v>
      </c>
      <c r="C15" s="20">
        <v>100</v>
      </c>
      <c r="D15" s="20">
        <v>150</v>
      </c>
      <c r="E15" s="20">
        <v>150</v>
      </c>
      <c r="F15" s="20">
        <v>150</v>
      </c>
      <c r="G15" s="20">
        <v>150</v>
      </c>
      <c r="H15" s="20">
        <v>150</v>
      </c>
      <c r="I15" s="20">
        <v>150</v>
      </c>
      <c r="J15" s="20">
        <v>200</v>
      </c>
      <c r="K15" s="20"/>
      <c r="L15" s="20"/>
      <c r="M15" s="20"/>
      <c r="AE15" s="10"/>
      <c r="AF15" s="11"/>
      <c r="AG15" s="10"/>
      <c r="AH15" s="10"/>
      <c r="AI15" s="10"/>
      <c r="AJ15" s="10"/>
      <c r="AK15" s="10"/>
      <c r="AL15" s="10"/>
      <c r="AM15" s="10"/>
      <c r="AN15" s="10"/>
      <c r="AO15" s="21"/>
    </row>
    <row r="16" spans="1:41" x14ac:dyDescent="0.25">
      <c r="A16" s="8">
        <v>0.4</v>
      </c>
      <c r="B16" s="19">
        <f t="shared" si="0"/>
        <v>4332000</v>
      </c>
      <c r="C16" s="20">
        <v>100</v>
      </c>
      <c r="D16" s="20">
        <v>150</v>
      </c>
      <c r="E16" s="20">
        <v>150</v>
      </c>
      <c r="F16" s="20">
        <v>150</v>
      </c>
      <c r="G16" s="20">
        <v>150</v>
      </c>
      <c r="H16" s="20">
        <v>150</v>
      </c>
      <c r="I16" s="20">
        <v>150</v>
      </c>
      <c r="J16" s="20">
        <v>150</v>
      </c>
      <c r="K16" s="20"/>
      <c r="L16" s="20"/>
      <c r="M16" s="20"/>
      <c r="T16" s="15"/>
      <c r="AE16" s="10"/>
      <c r="AF16" s="11"/>
      <c r="AG16" s="10"/>
      <c r="AH16" s="10"/>
      <c r="AI16" s="10"/>
      <c r="AJ16" s="10"/>
      <c r="AK16" s="10"/>
      <c r="AL16" s="10"/>
      <c r="AM16" s="10"/>
      <c r="AN16" s="10"/>
      <c r="AO16" s="21"/>
    </row>
    <row r="17" spans="1:50" x14ac:dyDescent="0.25">
      <c r="A17" s="8">
        <v>0.3</v>
      </c>
      <c r="B17" s="19">
        <f t="shared" si="0"/>
        <v>3249000</v>
      </c>
      <c r="C17" s="20">
        <v>100</v>
      </c>
      <c r="D17" s="20">
        <v>100</v>
      </c>
      <c r="E17" s="20">
        <v>100</v>
      </c>
      <c r="F17" s="20">
        <v>150</v>
      </c>
      <c r="G17" s="20">
        <v>150</v>
      </c>
      <c r="H17" s="20">
        <v>150</v>
      </c>
      <c r="I17" s="20">
        <v>150</v>
      </c>
      <c r="J17" s="20">
        <v>150</v>
      </c>
      <c r="K17" s="20"/>
      <c r="L17" s="20"/>
      <c r="M17" s="20"/>
      <c r="T17" s="15"/>
      <c r="AE17" s="10"/>
      <c r="AF17" s="11"/>
      <c r="AG17" s="10"/>
      <c r="AH17" s="10"/>
      <c r="AI17" s="10"/>
      <c r="AJ17" s="10"/>
      <c r="AK17" s="10"/>
      <c r="AL17" s="10"/>
      <c r="AM17" s="10"/>
      <c r="AN17" s="10"/>
      <c r="AO17" s="21"/>
    </row>
    <row r="18" spans="1:50" x14ac:dyDescent="0.25">
      <c r="A18" s="8">
        <v>0.2</v>
      </c>
      <c r="B18" s="19">
        <f t="shared" si="0"/>
        <v>2166000</v>
      </c>
      <c r="C18" s="20">
        <v>100</v>
      </c>
      <c r="D18" s="20">
        <v>100</v>
      </c>
      <c r="E18" s="20">
        <v>100</v>
      </c>
      <c r="F18" s="20">
        <v>100</v>
      </c>
      <c r="G18" s="20">
        <v>100</v>
      </c>
      <c r="H18" s="20">
        <v>100</v>
      </c>
      <c r="I18" s="20">
        <v>150</v>
      </c>
      <c r="J18" s="20">
        <v>150</v>
      </c>
      <c r="K18" s="20"/>
      <c r="L18" s="20"/>
      <c r="M18" s="20"/>
      <c r="T18" s="15"/>
      <c r="AE18" s="10"/>
      <c r="AF18" s="11"/>
      <c r="AG18" s="10"/>
      <c r="AH18" s="10"/>
      <c r="AI18" s="10"/>
      <c r="AJ18" s="10"/>
      <c r="AK18" s="10"/>
      <c r="AL18" s="10"/>
      <c r="AM18" s="10"/>
      <c r="AN18" s="10"/>
      <c r="AO18" s="21"/>
    </row>
    <row r="19" spans="1:50" x14ac:dyDescent="0.25">
      <c r="A19" s="8">
        <v>0.1</v>
      </c>
      <c r="B19" s="19">
        <f>A19*10830000</f>
        <v>1083000</v>
      </c>
      <c r="C19" s="20">
        <v>50</v>
      </c>
      <c r="D19" s="20">
        <v>100</v>
      </c>
      <c r="E19" s="20">
        <v>100</v>
      </c>
      <c r="F19" s="20">
        <v>100</v>
      </c>
      <c r="G19" s="20">
        <v>100</v>
      </c>
      <c r="H19" s="20">
        <v>100</v>
      </c>
      <c r="I19" s="20">
        <v>100</v>
      </c>
      <c r="J19" s="20">
        <v>100</v>
      </c>
      <c r="K19" s="20"/>
      <c r="L19" s="20"/>
      <c r="M19" s="20"/>
      <c r="AE19" s="10"/>
      <c r="AF19" s="11"/>
      <c r="AG19" s="10"/>
      <c r="AH19" s="10"/>
      <c r="AI19" s="10"/>
      <c r="AJ19" s="10"/>
      <c r="AK19" s="10"/>
      <c r="AL19" s="10"/>
      <c r="AM19" s="10"/>
      <c r="AN19" s="10"/>
      <c r="AO19" s="21"/>
    </row>
    <row r="20" spans="1:50" x14ac:dyDescent="0.25">
      <c r="B20" s="19"/>
      <c r="AE20" s="10"/>
      <c r="AF20" s="11"/>
      <c r="AG20" s="10"/>
      <c r="AH20" s="10"/>
      <c r="AI20" s="10"/>
      <c r="AJ20" s="10"/>
      <c r="AK20" s="10"/>
      <c r="AL20" s="10"/>
      <c r="AM20" s="10"/>
      <c r="AN20" s="10"/>
      <c r="AO20" s="21"/>
    </row>
    <row r="21" spans="1:50" s="32" customFormat="1" x14ac:dyDescent="0.25">
      <c r="A21" s="9" t="s">
        <v>38</v>
      </c>
      <c r="B21" s="33"/>
      <c r="AE21" s="14"/>
      <c r="AF21" s="34"/>
      <c r="AG21" s="14"/>
      <c r="AH21" s="14"/>
      <c r="AI21" s="14"/>
      <c r="AJ21" s="14"/>
      <c r="AK21" s="14"/>
      <c r="AL21" s="14"/>
      <c r="AM21" s="14"/>
      <c r="AN21" s="14"/>
      <c r="AO21" s="35"/>
      <c r="AR21" s="14"/>
    </row>
    <row r="22" spans="1:50" x14ac:dyDescent="0.25">
      <c r="B22" s="19"/>
      <c r="AE22" s="10"/>
      <c r="AF22" s="11"/>
      <c r="AG22" s="10"/>
      <c r="AH22" s="10"/>
      <c r="AI22" s="10"/>
      <c r="AJ22" s="10"/>
      <c r="AK22" s="10"/>
      <c r="AL22" s="10"/>
      <c r="AM22" s="10"/>
      <c r="AN22" s="10"/>
      <c r="AO22" s="21"/>
      <c r="AP22" s="10"/>
      <c r="AQ22" s="10"/>
      <c r="AR22" s="10"/>
      <c r="AS22" s="10"/>
      <c r="AT22" s="10"/>
      <c r="AU22" s="10"/>
      <c r="AV22" s="10"/>
      <c r="AW22" s="10"/>
      <c r="AX22" s="10"/>
    </row>
    <row r="23" spans="1:50" x14ac:dyDescent="0.25">
      <c r="A23" s="8" t="s">
        <v>39</v>
      </c>
      <c r="B23" s="8" t="s">
        <v>18</v>
      </c>
      <c r="AE23" s="21"/>
      <c r="AF23" s="21"/>
      <c r="AG23" s="21"/>
      <c r="AH23" s="21"/>
      <c r="AI23" s="21"/>
      <c r="AJ23" s="21"/>
      <c r="AK23" s="21"/>
      <c r="AL23" s="21"/>
      <c r="AM23" s="21"/>
      <c r="AN23" s="21"/>
      <c r="AP23" s="10"/>
      <c r="AQ23" s="10"/>
      <c r="AR23" s="10"/>
      <c r="AS23" s="10"/>
      <c r="AT23" s="10"/>
      <c r="AU23" s="10"/>
      <c r="AV23" s="10"/>
      <c r="AW23" s="10"/>
      <c r="AX23" s="10"/>
    </row>
    <row r="24" spans="1:50" x14ac:dyDescent="0.25">
      <c r="A24" s="8" t="s">
        <v>19</v>
      </c>
      <c r="B24" s="19">
        <v>125000</v>
      </c>
      <c r="C24" s="19"/>
      <c r="F24" s="15"/>
      <c r="AP24" s="10"/>
      <c r="AQ24" s="10"/>
      <c r="AR24" s="10"/>
      <c r="AS24" s="10"/>
      <c r="AT24" s="10"/>
      <c r="AU24" s="10"/>
      <c r="AV24" s="10"/>
      <c r="AW24" s="10"/>
      <c r="AX24" s="10"/>
    </row>
    <row r="25" spans="1:50" x14ac:dyDescent="0.25">
      <c r="A25" s="8" t="s">
        <v>20</v>
      </c>
      <c r="B25" s="19">
        <v>150000</v>
      </c>
      <c r="C25" s="19"/>
      <c r="F25" s="15"/>
      <c r="AP25" s="10"/>
      <c r="AQ25" s="10"/>
      <c r="AR25" s="10"/>
      <c r="AS25" s="10"/>
      <c r="AT25" s="10"/>
      <c r="AU25" s="10"/>
      <c r="AV25" s="10"/>
      <c r="AW25" s="10"/>
      <c r="AX25" s="10"/>
    </row>
    <row r="26" spans="1:50" x14ac:dyDescent="0.25">
      <c r="A26" s="8" t="s">
        <v>21</v>
      </c>
      <c r="B26" s="19">
        <v>187500</v>
      </c>
      <c r="C26" s="19"/>
      <c r="AE26" s="15"/>
      <c r="AF26" s="19"/>
      <c r="AP26" s="10"/>
      <c r="AQ26" s="10"/>
      <c r="AR26" s="10"/>
      <c r="AS26" s="10"/>
      <c r="AT26" s="10"/>
      <c r="AU26" s="10"/>
      <c r="AV26" s="10"/>
      <c r="AW26" s="10"/>
      <c r="AX26" s="10"/>
    </row>
    <row r="27" spans="1:50" x14ac:dyDescent="0.25">
      <c r="A27" s="8" t="s">
        <v>22</v>
      </c>
      <c r="B27" s="19">
        <v>202500</v>
      </c>
      <c r="C27" s="19"/>
      <c r="AF27" s="19"/>
      <c r="AP27" s="10"/>
      <c r="AQ27" s="10"/>
      <c r="AR27" s="10"/>
      <c r="AS27" s="10"/>
      <c r="AT27" s="10"/>
      <c r="AU27" s="10"/>
      <c r="AV27" s="10"/>
      <c r="AW27" s="10"/>
      <c r="AX27" s="10"/>
    </row>
    <row r="28" spans="1:50" x14ac:dyDescent="0.25">
      <c r="A28" s="8" t="s">
        <v>23</v>
      </c>
      <c r="B28" s="19">
        <v>238750</v>
      </c>
      <c r="C28" s="19"/>
      <c r="AP28" s="10"/>
      <c r="AQ28" s="10"/>
      <c r="AR28" s="10"/>
      <c r="AS28" s="10"/>
      <c r="AT28" s="10"/>
      <c r="AU28" s="10"/>
      <c r="AV28" s="10"/>
      <c r="AW28" s="10"/>
      <c r="AX28" s="10"/>
    </row>
    <row r="29" spans="1:50" x14ac:dyDescent="0.25">
      <c r="A29" s="8" t="s">
        <v>24</v>
      </c>
      <c r="B29" s="19">
        <v>355000</v>
      </c>
      <c r="C29" s="19"/>
      <c r="AP29" s="10"/>
      <c r="AQ29" s="10"/>
      <c r="AR29" s="10"/>
      <c r="AS29" s="10"/>
      <c r="AT29" s="10"/>
      <c r="AU29" s="10"/>
      <c r="AV29" s="10"/>
      <c r="AW29" s="10"/>
      <c r="AX29" s="10"/>
    </row>
    <row r="30" spans="1:50" x14ac:dyDescent="0.25">
      <c r="A30" s="8" t="s">
        <v>25</v>
      </c>
      <c r="B30" s="19">
        <v>414000</v>
      </c>
      <c r="C30" s="19"/>
      <c r="AE30" s="10"/>
      <c r="AF30" s="10"/>
      <c r="AG30" s="21"/>
      <c r="AP30" s="10"/>
      <c r="AQ30" s="10"/>
      <c r="AR30" s="10"/>
      <c r="AS30" s="10"/>
      <c r="AT30" s="10"/>
      <c r="AU30" s="10"/>
      <c r="AV30" s="10"/>
      <c r="AW30" s="10"/>
      <c r="AX30" s="10"/>
    </row>
    <row r="31" spans="1:50" x14ac:dyDescent="0.25">
      <c r="A31" s="8"/>
      <c r="B31" s="19"/>
      <c r="C31" s="19"/>
      <c r="AE31" s="10"/>
      <c r="AF31" s="10"/>
      <c r="AG31" s="21"/>
      <c r="AP31" s="10"/>
      <c r="AQ31" s="10"/>
      <c r="AR31" s="10"/>
      <c r="AS31" s="10"/>
      <c r="AT31" s="10"/>
      <c r="AU31" s="10"/>
      <c r="AV31" s="10"/>
      <c r="AW31" s="10"/>
      <c r="AX31" s="10"/>
    </row>
    <row r="32" spans="1:50" x14ac:dyDescent="0.25">
      <c r="A32" s="113" t="s">
        <v>66</v>
      </c>
      <c r="D32" s="15"/>
      <c r="AE32" s="10"/>
      <c r="AF32" s="10"/>
      <c r="AG32" s="21"/>
      <c r="AP32" s="10"/>
      <c r="AQ32" s="10"/>
      <c r="AR32" s="10"/>
      <c r="AS32" s="10"/>
      <c r="AT32" s="10"/>
      <c r="AU32" s="10"/>
      <c r="AV32" s="10"/>
      <c r="AW32" s="10"/>
      <c r="AX32" s="10"/>
    </row>
    <row r="33" spans="1:50" x14ac:dyDescent="0.25">
      <c r="AE33" s="10"/>
      <c r="AF33" s="10"/>
      <c r="AG33" s="21"/>
      <c r="AP33" s="10"/>
      <c r="AQ33" s="10"/>
      <c r="AR33" s="10"/>
      <c r="AS33" s="10"/>
      <c r="AT33" s="10"/>
      <c r="AU33" s="10"/>
      <c r="AV33" s="10"/>
      <c r="AW33" s="10"/>
      <c r="AX33" s="10"/>
    </row>
    <row r="34" spans="1:50" x14ac:dyDescent="0.25">
      <c r="A34" s="15" t="s">
        <v>87</v>
      </c>
      <c r="B34" s="10" t="s">
        <v>34</v>
      </c>
      <c r="C34" s="10" t="s">
        <v>64</v>
      </c>
      <c r="D34" s="10"/>
      <c r="E34" s="15"/>
      <c r="F34" s="15"/>
      <c r="AE34" s="10"/>
      <c r="AF34" s="10"/>
      <c r="AG34" s="21"/>
      <c r="AP34" s="10"/>
      <c r="AQ34" s="10"/>
      <c r="AR34" s="10"/>
      <c r="AS34" s="10"/>
      <c r="AT34" s="10"/>
      <c r="AU34" s="10"/>
      <c r="AV34" s="10"/>
      <c r="AW34" s="10"/>
      <c r="AX34" s="10"/>
    </row>
    <row r="35" spans="1:50" x14ac:dyDescent="0.25">
      <c r="A35" s="8">
        <v>15</v>
      </c>
      <c r="B35" s="12">
        <v>600</v>
      </c>
      <c r="C35" s="12">
        <v>3525</v>
      </c>
      <c r="D35" s="12"/>
      <c r="E35" s="17"/>
      <c r="F35" s="17"/>
      <c r="AE35" s="10"/>
      <c r="AF35" s="10"/>
      <c r="AG35" s="21"/>
      <c r="AP35" s="10"/>
      <c r="AQ35" s="10"/>
      <c r="AR35" s="10"/>
      <c r="AS35" s="10"/>
      <c r="AT35" s="10"/>
      <c r="AU35" s="10"/>
      <c r="AV35" s="10"/>
      <c r="AW35" s="10"/>
      <c r="AX35" s="10"/>
    </row>
    <row r="36" spans="1:50" x14ac:dyDescent="0.25">
      <c r="A36" s="8">
        <v>12</v>
      </c>
      <c r="B36" s="12">
        <v>450</v>
      </c>
      <c r="C36" s="12">
        <v>3130</v>
      </c>
      <c r="D36" s="12"/>
      <c r="E36" s="17"/>
      <c r="F36" s="17"/>
      <c r="AE36" s="10"/>
      <c r="AF36" s="10"/>
      <c r="AG36" s="21"/>
      <c r="AP36" s="10"/>
      <c r="AQ36" s="10"/>
      <c r="AR36" s="10"/>
      <c r="AS36" s="10"/>
      <c r="AT36" s="10"/>
      <c r="AU36" s="10"/>
      <c r="AV36" s="10"/>
      <c r="AW36" s="10"/>
      <c r="AX36" s="10"/>
    </row>
    <row r="37" spans="1:50" x14ac:dyDescent="0.25">
      <c r="A37" s="8">
        <v>10</v>
      </c>
      <c r="B37" s="12">
        <v>450</v>
      </c>
      <c r="C37" s="12">
        <v>2930</v>
      </c>
      <c r="D37" s="12"/>
      <c r="E37" s="17"/>
      <c r="F37" s="17"/>
      <c r="AE37" s="10"/>
      <c r="AF37" s="10"/>
      <c r="AG37" s="21"/>
      <c r="AP37" s="10"/>
      <c r="AQ37" s="10"/>
      <c r="AR37" s="10"/>
      <c r="AS37" s="10"/>
      <c r="AT37" s="10"/>
      <c r="AU37" s="10"/>
      <c r="AV37" s="10"/>
      <c r="AW37" s="10"/>
      <c r="AX37" s="10"/>
    </row>
    <row r="38" spans="1:50" x14ac:dyDescent="0.25">
      <c r="A38" s="8">
        <v>7</v>
      </c>
      <c r="B38" s="12">
        <v>450</v>
      </c>
      <c r="C38" s="12">
        <v>2630</v>
      </c>
      <c r="D38" s="12"/>
      <c r="E38" s="17"/>
      <c r="F38" s="17"/>
      <c r="AE38" s="10"/>
      <c r="AF38" s="10"/>
      <c r="AG38" s="21"/>
      <c r="AP38" s="10"/>
      <c r="AQ38" s="10"/>
      <c r="AR38" s="10"/>
      <c r="AS38" s="10"/>
      <c r="AT38" s="10"/>
      <c r="AU38" s="10"/>
      <c r="AV38" s="10"/>
      <c r="AW38" s="10"/>
      <c r="AX38" s="10"/>
    </row>
    <row r="39" spans="1:50" x14ac:dyDescent="0.25">
      <c r="A39" s="8">
        <v>5</v>
      </c>
      <c r="B39" s="12">
        <v>450</v>
      </c>
      <c r="C39" s="12">
        <v>2630</v>
      </c>
      <c r="D39" s="12"/>
      <c r="E39" s="17"/>
      <c r="F39" s="17"/>
      <c r="AE39" s="10"/>
      <c r="AF39" s="10"/>
      <c r="AG39" s="21"/>
      <c r="AP39" s="10"/>
      <c r="AQ39" s="10"/>
      <c r="AR39" s="10"/>
      <c r="AS39" s="10"/>
      <c r="AT39" s="10"/>
      <c r="AU39" s="10"/>
      <c r="AV39" s="10"/>
      <c r="AW39" s="10"/>
      <c r="AX39" s="10"/>
    </row>
    <row r="40" spans="1:50" x14ac:dyDescent="0.25">
      <c r="A40" s="8">
        <v>4</v>
      </c>
      <c r="B40" s="12">
        <v>300</v>
      </c>
      <c r="C40" s="12">
        <v>2275</v>
      </c>
      <c r="D40" s="12"/>
      <c r="E40" s="17"/>
      <c r="F40" s="17"/>
      <c r="AE40" s="10"/>
      <c r="AF40" s="10"/>
      <c r="AG40" s="21"/>
      <c r="AP40" s="10"/>
      <c r="AQ40" s="10"/>
      <c r="AR40" s="10"/>
      <c r="AS40" s="10"/>
      <c r="AT40" s="10"/>
      <c r="AU40" s="10"/>
      <c r="AV40" s="10"/>
      <c r="AW40" s="10"/>
      <c r="AX40" s="10"/>
    </row>
    <row r="41" spans="1:50" x14ac:dyDescent="0.25">
      <c r="A41" s="8">
        <v>3</v>
      </c>
      <c r="B41" s="12">
        <v>300</v>
      </c>
      <c r="C41" s="12">
        <v>1940</v>
      </c>
      <c r="D41" s="12"/>
      <c r="E41" s="17"/>
      <c r="F41" s="17"/>
      <c r="AE41" s="10"/>
      <c r="AF41" s="10"/>
      <c r="AG41" s="21"/>
      <c r="AP41" s="10"/>
      <c r="AQ41" s="10"/>
      <c r="AR41" s="10"/>
      <c r="AS41" s="10"/>
      <c r="AT41" s="10"/>
      <c r="AU41" s="10"/>
      <c r="AV41" s="10"/>
      <c r="AW41" s="10"/>
      <c r="AX41" s="10"/>
    </row>
    <row r="42" spans="1:50" x14ac:dyDescent="0.25">
      <c r="A42" s="8">
        <v>2</v>
      </c>
      <c r="B42" s="12">
        <v>200</v>
      </c>
      <c r="C42" s="12">
        <v>1905</v>
      </c>
      <c r="D42" s="12"/>
      <c r="E42" s="17"/>
      <c r="F42" s="17"/>
      <c r="AE42" s="10"/>
      <c r="AF42" s="10"/>
      <c r="AG42" s="21"/>
      <c r="AP42" s="10"/>
      <c r="AQ42" s="10"/>
      <c r="AR42" s="10"/>
      <c r="AS42" s="10"/>
      <c r="AT42" s="10"/>
      <c r="AU42" s="10"/>
      <c r="AV42" s="10"/>
      <c r="AW42" s="10"/>
      <c r="AX42" s="10"/>
    </row>
    <row r="43" spans="1:50" x14ac:dyDescent="0.25">
      <c r="A43" s="8">
        <v>1</v>
      </c>
      <c r="B43" s="12">
        <v>150</v>
      </c>
      <c r="C43" s="12">
        <v>1505</v>
      </c>
      <c r="D43" s="12"/>
      <c r="E43" s="17"/>
      <c r="F43" s="17"/>
      <c r="AE43" s="10"/>
      <c r="AF43" s="10"/>
      <c r="AG43" s="21"/>
      <c r="AP43" s="10"/>
      <c r="AQ43" s="10"/>
      <c r="AR43" s="10"/>
      <c r="AS43" s="10"/>
      <c r="AT43" s="10"/>
      <c r="AU43" s="10"/>
      <c r="AV43" s="10"/>
      <c r="AW43" s="10"/>
      <c r="AX43" s="10"/>
    </row>
    <row r="44" spans="1:50" x14ac:dyDescent="0.25">
      <c r="A44" s="8">
        <v>0.5</v>
      </c>
      <c r="B44" s="12">
        <v>100</v>
      </c>
      <c r="C44" s="12">
        <v>1095</v>
      </c>
      <c r="D44" s="12"/>
      <c r="E44" s="17"/>
      <c r="F44" s="17"/>
      <c r="AE44" s="10"/>
      <c r="AF44" s="10"/>
      <c r="AG44" s="21"/>
      <c r="AP44" s="10"/>
      <c r="AQ44" s="10"/>
      <c r="AR44" s="10"/>
      <c r="AS44" s="10"/>
      <c r="AT44" s="10"/>
      <c r="AU44" s="10"/>
      <c r="AV44" s="10"/>
      <c r="AW44" s="10"/>
      <c r="AX44" s="10"/>
    </row>
    <row r="45" spans="1:50" x14ac:dyDescent="0.25">
      <c r="A45" s="8">
        <v>0.4</v>
      </c>
      <c r="B45" s="12">
        <v>100</v>
      </c>
      <c r="C45" s="12">
        <v>1095</v>
      </c>
      <c r="D45" s="12"/>
      <c r="E45" s="17"/>
      <c r="F45" s="17"/>
      <c r="AE45" s="10"/>
      <c r="AF45" s="10"/>
      <c r="AG45" s="21"/>
      <c r="AP45" s="10"/>
      <c r="AQ45" s="10"/>
      <c r="AR45" s="10"/>
      <c r="AS45" s="10"/>
      <c r="AT45" s="10"/>
      <c r="AU45" s="10"/>
      <c r="AV45" s="10"/>
      <c r="AW45" s="10"/>
      <c r="AX45" s="10"/>
    </row>
    <row r="46" spans="1:50" x14ac:dyDescent="0.25">
      <c r="A46" s="8">
        <v>0.3</v>
      </c>
      <c r="B46" s="12">
        <v>100</v>
      </c>
      <c r="C46" s="12">
        <v>915</v>
      </c>
      <c r="D46" s="12"/>
      <c r="E46" s="17"/>
      <c r="F46" s="17"/>
      <c r="AE46" s="10"/>
      <c r="AF46" s="10"/>
      <c r="AG46" s="21"/>
      <c r="AP46" s="10"/>
      <c r="AQ46" s="10"/>
      <c r="AR46" s="10"/>
      <c r="AS46" s="10"/>
      <c r="AT46" s="10"/>
      <c r="AU46" s="10"/>
      <c r="AV46" s="10"/>
      <c r="AW46" s="10"/>
      <c r="AX46" s="10"/>
    </row>
    <row r="47" spans="1:50" x14ac:dyDescent="0.25">
      <c r="A47" s="8">
        <v>0.2</v>
      </c>
      <c r="B47" s="12">
        <v>100</v>
      </c>
      <c r="C47" s="12">
        <v>915</v>
      </c>
      <c r="D47" s="12"/>
      <c r="E47" s="17"/>
      <c r="F47" s="17"/>
      <c r="AE47" s="10"/>
      <c r="AF47" s="12"/>
      <c r="AG47" s="21"/>
      <c r="AP47" s="10"/>
      <c r="AQ47" s="10"/>
      <c r="AR47" s="10"/>
      <c r="AS47" s="10"/>
      <c r="AT47" s="10"/>
      <c r="AU47" s="10"/>
      <c r="AV47" s="10"/>
      <c r="AW47" s="10"/>
      <c r="AX47" s="10"/>
    </row>
    <row r="48" spans="1:50" s="32" customFormat="1" x14ac:dyDescent="0.25">
      <c r="A48" s="8">
        <v>0.1</v>
      </c>
      <c r="B48" s="12">
        <v>100</v>
      </c>
      <c r="C48" s="12">
        <v>770</v>
      </c>
      <c r="D48" s="12"/>
      <c r="E48" s="17"/>
      <c r="F48" s="17"/>
      <c r="AE48" s="14"/>
      <c r="AF48" s="36"/>
      <c r="AG48" s="35"/>
      <c r="AP48" s="14"/>
      <c r="AQ48" s="14"/>
      <c r="AR48" s="14"/>
      <c r="AS48" s="14"/>
      <c r="AT48" s="14"/>
      <c r="AU48" s="14"/>
      <c r="AV48" s="14"/>
      <c r="AW48" s="14"/>
      <c r="AX48" s="14"/>
    </row>
    <row r="49" spans="1:50" s="32" customFormat="1" x14ac:dyDescent="0.25">
      <c r="A49" s="8"/>
      <c r="B49" s="12"/>
      <c r="C49" s="12"/>
      <c r="D49" s="12"/>
      <c r="E49" s="17"/>
      <c r="F49" s="17"/>
      <c r="AE49" s="14"/>
      <c r="AF49" s="36"/>
      <c r="AG49" s="35"/>
      <c r="AP49" s="14"/>
      <c r="AQ49" s="14"/>
      <c r="AR49" s="14"/>
      <c r="AS49" s="14"/>
      <c r="AT49" s="14"/>
      <c r="AU49" s="14"/>
      <c r="AV49" s="14"/>
      <c r="AW49" s="14"/>
      <c r="AX49" s="14"/>
    </row>
    <row r="50" spans="1:50" x14ac:dyDescent="0.25">
      <c r="A50" s="9" t="s">
        <v>69</v>
      </c>
      <c r="B50" s="12"/>
      <c r="C50" s="12"/>
      <c r="D50" s="12"/>
      <c r="E50" s="17"/>
      <c r="F50" s="17"/>
      <c r="AE50" s="10"/>
      <c r="AF50" s="12"/>
      <c r="AG50" s="19"/>
      <c r="AJ50" s="15"/>
      <c r="AP50" s="10"/>
      <c r="AQ50" s="10"/>
      <c r="AR50" s="10"/>
      <c r="AS50" s="10"/>
      <c r="AT50" s="10"/>
      <c r="AU50" s="10"/>
      <c r="AV50" s="10"/>
      <c r="AW50" s="10"/>
      <c r="AX50" s="10"/>
    </row>
    <row r="51" spans="1:50" x14ac:dyDescent="0.25">
      <c r="B51" s="9" t="s">
        <v>37</v>
      </c>
      <c r="C51" s="22"/>
      <c r="D51" s="22"/>
      <c r="E51" s="22"/>
      <c r="F51" s="22"/>
      <c r="G51" s="22"/>
      <c r="H51" s="22"/>
      <c r="I51" s="22"/>
      <c r="J51" s="22"/>
      <c r="K51" s="22"/>
      <c r="L51" s="22"/>
      <c r="M51" s="22"/>
      <c r="N51" s="22"/>
      <c r="AE51" s="10"/>
      <c r="AF51" s="12"/>
      <c r="AG51" s="19"/>
      <c r="AJ51" s="15"/>
    </row>
    <row r="52" spans="1:50" x14ac:dyDescent="0.25">
      <c r="A52" s="15" t="s">
        <v>88</v>
      </c>
      <c r="B52" s="22">
        <v>0</v>
      </c>
      <c r="C52" s="22">
        <v>5</v>
      </c>
      <c r="D52" s="22">
        <v>10</v>
      </c>
      <c r="E52" s="22">
        <v>15</v>
      </c>
      <c r="F52" s="22">
        <v>20</v>
      </c>
      <c r="G52" s="22">
        <v>25</v>
      </c>
      <c r="H52" s="22">
        <v>30</v>
      </c>
      <c r="I52" s="22">
        <v>40</v>
      </c>
      <c r="J52" s="22">
        <v>50</v>
      </c>
      <c r="K52" s="22"/>
      <c r="L52" s="22"/>
      <c r="M52" s="22"/>
      <c r="N52" s="22"/>
      <c r="AE52" s="10"/>
      <c r="AF52" s="12"/>
      <c r="AG52" s="19"/>
      <c r="AQ52" s="10"/>
    </row>
    <row r="53" spans="1:50" x14ac:dyDescent="0.25">
      <c r="A53" s="8" t="s">
        <v>44</v>
      </c>
      <c r="B53" s="13">
        <f>C35*1000</f>
        <v>3525000</v>
      </c>
      <c r="C53" s="13">
        <f>C$52*$B$29+$B53</f>
        <v>5300000</v>
      </c>
      <c r="D53" s="13">
        <f t="shared" ref="C53:E54" si="1">D$52*$B$29+$B53</f>
        <v>7075000</v>
      </c>
      <c r="E53" s="13">
        <f t="shared" si="1"/>
        <v>8850000</v>
      </c>
      <c r="F53" s="13">
        <f>F$52*$B$30+$B53</f>
        <v>11805000</v>
      </c>
      <c r="G53" s="13">
        <f>G$52*$B$30+100000+$B53</f>
        <v>13975000</v>
      </c>
      <c r="H53" s="13">
        <f>H$52*$B$30+100000+$B53</f>
        <v>16045000</v>
      </c>
      <c r="I53" s="13">
        <f>I$52*$B$30+100000+$B53</f>
        <v>20185000</v>
      </c>
      <c r="J53" s="13">
        <f>J$52*$B$30+200000+$B53</f>
        <v>24425000</v>
      </c>
      <c r="K53" s="13"/>
      <c r="L53" s="13"/>
      <c r="M53" s="13"/>
      <c r="N53" s="13"/>
      <c r="AE53" s="10"/>
      <c r="AF53" s="12"/>
      <c r="AG53" s="19"/>
    </row>
    <row r="54" spans="1:50" x14ac:dyDescent="0.25">
      <c r="A54" s="8" t="s">
        <v>45</v>
      </c>
      <c r="B54" s="13">
        <f t="shared" ref="B54:B66" si="2">C36*1000</f>
        <v>3130000</v>
      </c>
      <c r="C54" s="13">
        <f t="shared" si="1"/>
        <v>4905000</v>
      </c>
      <c r="D54" s="13">
        <f t="shared" si="1"/>
        <v>6680000</v>
      </c>
      <c r="E54" s="13">
        <f t="shared" si="1"/>
        <v>8455000</v>
      </c>
      <c r="F54" s="13">
        <f>F$52*$B$29+$B54</f>
        <v>10230000</v>
      </c>
      <c r="G54" s="13">
        <f>G$52*$B$29+100000+$B54</f>
        <v>12105000</v>
      </c>
      <c r="H54" s="13">
        <f>H$52*$B$30+100000+$B54</f>
        <v>15650000</v>
      </c>
      <c r="I54" s="13">
        <f t="shared" ref="I54:I60" si="3">I$52*$B$30+100000+$B54</f>
        <v>19790000</v>
      </c>
      <c r="J54" s="13">
        <f>J$52*$B$30+200000+$B54</f>
        <v>24030000</v>
      </c>
      <c r="K54" s="13"/>
      <c r="L54" s="13"/>
      <c r="M54" s="13"/>
      <c r="N54" s="13"/>
      <c r="Q54" s="13"/>
      <c r="R54" s="13"/>
      <c r="S54" s="13"/>
      <c r="T54" s="13"/>
      <c r="AE54" s="10"/>
      <c r="AF54" s="12"/>
      <c r="AG54" s="19"/>
    </row>
    <row r="55" spans="1:50" x14ac:dyDescent="0.25">
      <c r="A55" s="8" t="s">
        <v>46</v>
      </c>
      <c r="B55" s="13">
        <f t="shared" si="2"/>
        <v>2930000</v>
      </c>
      <c r="C55" s="24">
        <f>C$52*$B$28+$B55</f>
        <v>4123750</v>
      </c>
      <c r="D55" s="13">
        <f>D$52*$B$29+$B55</f>
        <v>6480000</v>
      </c>
      <c r="E55" s="13">
        <f>E$52*$B$29+$B55</f>
        <v>8255000</v>
      </c>
      <c r="F55" s="13">
        <f>F$52*$B$29+$B55</f>
        <v>10030000</v>
      </c>
      <c r="G55" s="13">
        <f>G$52*$B$29+100000+$B55</f>
        <v>11905000</v>
      </c>
      <c r="H55" s="13">
        <f>H$52*$B$29+100000+$B55</f>
        <v>13680000</v>
      </c>
      <c r="I55" s="13">
        <f t="shared" si="3"/>
        <v>19590000</v>
      </c>
      <c r="J55" s="13">
        <f>J$52*$B$30+200000+$B55</f>
        <v>23830000</v>
      </c>
      <c r="K55" s="13"/>
      <c r="L55" s="13"/>
      <c r="M55" s="13"/>
      <c r="N55" s="13"/>
      <c r="S55" s="13"/>
      <c r="T55" s="13"/>
      <c r="AE55" s="21"/>
      <c r="AF55" s="21"/>
      <c r="AG55" s="19"/>
    </row>
    <row r="56" spans="1:50" x14ac:dyDescent="0.25">
      <c r="A56" s="8" t="s">
        <v>47</v>
      </c>
      <c r="B56" s="13">
        <f t="shared" si="2"/>
        <v>2630000</v>
      </c>
      <c r="C56" s="13">
        <f>C$52*$B$28+$B56</f>
        <v>3823750</v>
      </c>
      <c r="D56" s="13">
        <f>D$52*$B$28+$B56</f>
        <v>5017500</v>
      </c>
      <c r="E56" s="13">
        <f>E$52*$B$29+$B56</f>
        <v>7955000</v>
      </c>
      <c r="F56" s="13">
        <f>F$52*$B$29+$B56</f>
        <v>9730000</v>
      </c>
      <c r="G56" s="13">
        <f>G$52*$B$29+100000+$B56</f>
        <v>11605000</v>
      </c>
      <c r="H56" s="13">
        <f>H$52*$B$29+100000+$B56</f>
        <v>13380000</v>
      </c>
      <c r="I56" s="13">
        <f t="shared" si="3"/>
        <v>19290000</v>
      </c>
      <c r="J56" s="13">
        <f>J$52*$B$29+200000+$B56</f>
        <v>20580000</v>
      </c>
      <c r="K56" s="13"/>
      <c r="L56" s="13"/>
      <c r="M56" s="13"/>
      <c r="N56" s="13"/>
    </row>
    <row r="57" spans="1:50" x14ac:dyDescent="0.25">
      <c r="A57" s="8" t="s">
        <v>8</v>
      </c>
      <c r="B57" s="13">
        <f t="shared" si="2"/>
        <v>2630000</v>
      </c>
      <c r="C57" s="13">
        <f>C$52*$B$28+$B57</f>
        <v>3823750</v>
      </c>
      <c r="D57" s="13">
        <f>D$52*$B$28+$B57</f>
        <v>5017500</v>
      </c>
      <c r="E57" s="13">
        <f t="shared" ref="E57:F59" si="4">E$52*$B$28+$B57</f>
        <v>6211250</v>
      </c>
      <c r="F57" s="13">
        <f t="shared" si="4"/>
        <v>7405000</v>
      </c>
      <c r="G57" s="13">
        <f>G$52*$B$29+100000+$B57</f>
        <v>11605000</v>
      </c>
      <c r="H57" s="13">
        <f>H$52*$B$29+100000+$B57</f>
        <v>13380000</v>
      </c>
      <c r="I57" s="13">
        <f t="shared" si="3"/>
        <v>19290000</v>
      </c>
      <c r="J57" s="13">
        <f>J$52*$B$29+200000+$B57</f>
        <v>20580000</v>
      </c>
      <c r="K57" s="13"/>
      <c r="L57" s="13"/>
      <c r="M57" s="13"/>
      <c r="N57" s="13"/>
      <c r="AQ57" s="10"/>
    </row>
    <row r="58" spans="1:50" x14ac:dyDescent="0.25">
      <c r="A58" s="8" t="s">
        <v>9</v>
      </c>
      <c r="B58" s="13">
        <f t="shared" si="2"/>
        <v>2275000</v>
      </c>
      <c r="C58" s="13">
        <f>C$52*$B$28+$B58</f>
        <v>3468750</v>
      </c>
      <c r="D58" s="13">
        <f>D$52*$B$28+$B58</f>
        <v>4662500</v>
      </c>
      <c r="E58" s="13">
        <f t="shared" si="4"/>
        <v>5856250</v>
      </c>
      <c r="F58" s="13">
        <f t="shared" si="4"/>
        <v>7050000</v>
      </c>
      <c r="G58" s="13">
        <f t="shared" ref="G58:H60" si="5">G$52*$B$28+100000+$B58</f>
        <v>8343750</v>
      </c>
      <c r="H58" s="13">
        <f t="shared" si="5"/>
        <v>9537500</v>
      </c>
      <c r="I58" s="13">
        <f t="shared" si="3"/>
        <v>18935000</v>
      </c>
      <c r="J58" s="13">
        <f>J$52*$B$29+200000+$B58</f>
        <v>20225000</v>
      </c>
      <c r="K58" s="13"/>
      <c r="L58" s="13"/>
      <c r="M58" s="13"/>
      <c r="N58" s="13"/>
      <c r="AE58" s="15"/>
      <c r="AF58" s="19"/>
    </row>
    <row r="59" spans="1:50" x14ac:dyDescent="0.25">
      <c r="A59" s="8" t="s">
        <v>10</v>
      </c>
      <c r="B59" s="13">
        <f t="shared" si="2"/>
        <v>1940000</v>
      </c>
      <c r="C59" s="13">
        <f>C$52*$B$27+$B59</f>
        <v>2952500</v>
      </c>
      <c r="D59" s="13">
        <f>D$52*$B$28+$B59</f>
        <v>4327500</v>
      </c>
      <c r="E59" s="13">
        <f t="shared" si="4"/>
        <v>5521250</v>
      </c>
      <c r="F59" s="13">
        <f t="shared" si="4"/>
        <v>6715000</v>
      </c>
      <c r="G59" s="13">
        <f t="shared" si="5"/>
        <v>8008750</v>
      </c>
      <c r="H59" s="13">
        <f t="shared" si="5"/>
        <v>9202500</v>
      </c>
      <c r="I59" s="13">
        <f t="shared" si="3"/>
        <v>18600000</v>
      </c>
      <c r="J59" s="13">
        <f>J$52*$B$28+200000+$B59</f>
        <v>14077500</v>
      </c>
      <c r="K59" s="13"/>
      <c r="L59" s="13"/>
      <c r="M59" s="13"/>
      <c r="N59" s="13"/>
      <c r="T59" s="15"/>
      <c r="AF59" s="19"/>
      <c r="AO59" s="13"/>
    </row>
    <row r="60" spans="1:50" x14ac:dyDescent="0.25">
      <c r="A60" s="8" t="s">
        <v>11</v>
      </c>
      <c r="B60" s="13">
        <f t="shared" si="2"/>
        <v>1905000</v>
      </c>
      <c r="C60" s="13">
        <f>C$52*$B$27+$B60</f>
        <v>2917500</v>
      </c>
      <c r="D60" s="13">
        <f>D$52*$B$27+$B60</f>
        <v>3930000</v>
      </c>
      <c r="E60" s="13">
        <f>E$52*$B$27+$B60</f>
        <v>4942500</v>
      </c>
      <c r="F60" s="13">
        <f>F$52*$B$28+$B60</f>
        <v>6680000</v>
      </c>
      <c r="G60" s="13">
        <f t="shared" si="5"/>
        <v>7973750</v>
      </c>
      <c r="H60" s="13">
        <f t="shared" si="5"/>
        <v>9167500</v>
      </c>
      <c r="I60" s="13">
        <f t="shared" si="3"/>
        <v>18565000</v>
      </c>
      <c r="J60" s="13">
        <f>J$52*$B$28+200000+$B60</f>
        <v>14042500</v>
      </c>
      <c r="K60" s="13"/>
      <c r="L60" s="13"/>
      <c r="M60" s="13"/>
      <c r="N60" s="13"/>
      <c r="AO60" s="13"/>
    </row>
    <row r="61" spans="1:50" x14ac:dyDescent="0.25">
      <c r="A61" s="8" t="s">
        <v>12</v>
      </c>
      <c r="B61" s="13">
        <f t="shared" si="2"/>
        <v>1505000</v>
      </c>
      <c r="C61" s="13">
        <f>C$52*$B$26+$B61</f>
        <v>2442500</v>
      </c>
      <c r="D61" s="13">
        <f>D$52*$B$26+$B61</f>
        <v>3380000</v>
      </c>
      <c r="E61" s="13">
        <f>E$52*$B$27+$B61</f>
        <v>4542500</v>
      </c>
      <c r="F61" s="13">
        <f>F$52*$B$27+$B61</f>
        <v>5555000</v>
      </c>
      <c r="G61" s="13">
        <f>G$52*$B$27+100000+$B61</f>
        <v>6667500</v>
      </c>
      <c r="H61" s="13">
        <f>H$52*$B$27+100000+$B61</f>
        <v>7680000</v>
      </c>
      <c r="I61" s="13">
        <f>I$52*$B$27+100000+$B61</f>
        <v>9705000</v>
      </c>
      <c r="J61" s="13">
        <f>J$52*$B$27+200000+$B61</f>
        <v>11830000</v>
      </c>
      <c r="K61" s="13"/>
      <c r="L61" s="13"/>
      <c r="M61" s="13"/>
      <c r="N61" s="13"/>
      <c r="AO61" s="13"/>
    </row>
    <row r="62" spans="1:50" x14ac:dyDescent="0.25">
      <c r="A62" s="8" t="s">
        <v>13</v>
      </c>
      <c r="B62" s="13">
        <f t="shared" si="2"/>
        <v>1095000</v>
      </c>
      <c r="C62" s="13">
        <f>C$52*$B$25+$B62</f>
        <v>1845000</v>
      </c>
      <c r="D62" s="13">
        <f t="shared" ref="D62:F63" si="6">D$52*$B$26+$B62</f>
        <v>2970000</v>
      </c>
      <c r="E62" s="13">
        <f t="shared" si="6"/>
        <v>3907500</v>
      </c>
      <c r="F62" s="13">
        <f t="shared" si="6"/>
        <v>4845000</v>
      </c>
      <c r="G62" s="13">
        <f t="shared" ref="G62:I64" si="7">G$52*$B$26+100000+$B62</f>
        <v>5882500</v>
      </c>
      <c r="H62" s="13">
        <f t="shared" si="7"/>
        <v>6820000</v>
      </c>
      <c r="I62" s="13">
        <f t="shared" si="7"/>
        <v>8695000</v>
      </c>
      <c r="J62" s="13">
        <f>J$52*$B$27+200000+$B62</f>
        <v>11420000</v>
      </c>
      <c r="K62" s="13"/>
      <c r="L62" s="13"/>
      <c r="M62" s="13"/>
      <c r="N62" s="13"/>
      <c r="AE62" s="10"/>
      <c r="AF62" s="10"/>
      <c r="AG62" s="10"/>
      <c r="AH62" s="10"/>
      <c r="AI62" s="10"/>
      <c r="AJ62" s="10"/>
      <c r="AK62" s="10"/>
      <c r="AL62" s="10"/>
      <c r="AM62" s="10"/>
      <c r="AN62" s="10"/>
      <c r="AO62" s="13"/>
    </row>
    <row r="63" spans="1:50" x14ac:dyDescent="0.25">
      <c r="A63" s="8" t="s">
        <v>14</v>
      </c>
      <c r="B63" s="13">
        <f t="shared" si="2"/>
        <v>1095000</v>
      </c>
      <c r="C63" s="13">
        <f>C$52*$B$25+$B63</f>
        <v>1845000</v>
      </c>
      <c r="D63" s="13">
        <f t="shared" si="6"/>
        <v>2970000</v>
      </c>
      <c r="E63" s="13">
        <f t="shared" si="6"/>
        <v>3907500</v>
      </c>
      <c r="F63" s="13">
        <f t="shared" si="6"/>
        <v>4845000</v>
      </c>
      <c r="G63" s="13">
        <f t="shared" si="7"/>
        <v>5882500</v>
      </c>
      <c r="H63" s="13">
        <f t="shared" si="7"/>
        <v>6820000</v>
      </c>
      <c r="I63" s="13">
        <f t="shared" si="7"/>
        <v>8695000</v>
      </c>
      <c r="J63" s="13">
        <f>J$52*$B$26+200000+$B63</f>
        <v>10670000</v>
      </c>
      <c r="K63" s="13"/>
      <c r="L63" s="13"/>
      <c r="M63" s="13"/>
      <c r="N63" s="13"/>
      <c r="AE63" s="15"/>
      <c r="AF63" s="10"/>
      <c r="AG63" s="10"/>
      <c r="AH63" s="10"/>
      <c r="AI63" s="10"/>
      <c r="AJ63" s="10"/>
      <c r="AK63" s="10"/>
      <c r="AL63" s="10"/>
      <c r="AM63" s="10"/>
      <c r="AN63" s="10"/>
      <c r="AO63" s="13"/>
    </row>
    <row r="64" spans="1:50" x14ac:dyDescent="0.25">
      <c r="A64" s="8" t="s">
        <v>15</v>
      </c>
      <c r="B64" s="13">
        <f t="shared" si="2"/>
        <v>915000</v>
      </c>
      <c r="C64" s="13">
        <f>C$52*$B$25+$B64</f>
        <v>1665000</v>
      </c>
      <c r="D64" s="24">
        <f t="shared" ref="D64:E66" si="8">D$52*$B$25+$B64</f>
        <v>2415000</v>
      </c>
      <c r="E64" s="13">
        <f t="shared" si="8"/>
        <v>3165000</v>
      </c>
      <c r="F64" s="13">
        <f>F$52*$B$26+$B64</f>
        <v>4665000</v>
      </c>
      <c r="G64" s="13">
        <f t="shared" si="7"/>
        <v>5702500</v>
      </c>
      <c r="H64" s="13">
        <f t="shared" si="7"/>
        <v>6640000</v>
      </c>
      <c r="I64" s="13">
        <f t="shared" si="7"/>
        <v>8515000</v>
      </c>
      <c r="J64" s="13">
        <f>J$52*$B$26+200000+$B64</f>
        <v>10490000</v>
      </c>
      <c r="K64" s="13"/>
      <c r="L64" s="13"/>
      <c r="M64" s="13"/>
      <c r="N64" s="13"/>
      <c r="AE64" s="10"/>
      <c r="AF64" s="13"/>
      <c r="AG64" s="13"/>
      <c r="AH64" s="13"/>
      <c r="AI64" s="13"/>
      <c r="AJ64" s="13"/>
      <c r="AK64" s="13"/>
      <c r="AL64" s="13"/>
      <c r="AM64" s="13"/>
      <c r="AN64" s="13"/>
      <c r="AO64" s="13"/>
    </row>
    <row r="65" spans="1:41" x14ac:dyDescent="0.25">
      <c r="A65" s="8" t="s">
        <v>16</v>
      </c>
      <c r="B65" s="13">
        <f t="shared" si="2"/>
        <v>915000</v>
      </c>
      <c r="C65" s="13">
        <f>C$52*$B$25+$B65</f>
        <v>1665000</v>
      </c>
      <c r="D65" s="13">
        <f t="shared" si="8"/>
        <v>2415000</v>
      </c>
      <c r="E65" s="13">
        <f t="shared" si="8"/>
        <v>3165000</v>
      </c>
      <c r="F65" s="13">
        <f>F$52*$B$25+$B65</f>
        <v>3915000</v>
      </c>
      <c r="G65" s="13">
        <f>G$52*$B$25+100000+$B65</f>
        <v>4765000</v>
      </c>
      <c r="H65" s="13">
        <f>H$52*$B$25+100000+$B65</f>
        <v>5515000</v>
      </c>
      <c r="I65" s="13">
        <f>I$52*$B$26+100000+$B65</f>
        <v>8515000</v>
      </c>
      <c r="J65" s="13">
        <f>J$52*$B$26+200000+$B65</f>
        <v>10490000</v>
      </c>
      <c r="K65" s="13"/>
      <c r="L65" s="13"/>
      <c r="M65" s="13"/>
      <c r="N65" s="13"/>
      <c r="AE65" s="10"/>
      <c r="AF65" s="13"/>
      <c r="AG65" s="13"/>
      <c r="AH65" s="13"/>
      <c r="AI65" s="13"/>
      <c r="AJ65" s="13"/>
      <c r="AK65" s="13"/>
      <c r="AL65" s="13"/>
      <c r="AM65" s="13"/>
      <c r="AN65" s="13"/>
      <c r="AO65" s="13"/>
    </row>
    <row r="66" spans="1:41" x14ac:dyDescent="0.25">
      <c r="A66" s="8" t="s">
        <v>17</v>
      </c>
      <c r="B66" s="13">
        <f t="shared" si="2"/>
        <v>770000</v>
      </c>
      <c r="C66" s="13">
        <f>C$52*$B$24+$B66</f>
        <v>1395000</v>
      </c>
      <c r="D66" s="13">
        <f t="shared" si="8"/>
        <v>2270000</v>
      </c>
      <c r="E66" s="13">
        <f t="shared" si="8"/>
        <v>3020000</v>
      </c>
      <c r="F66" s="13">
        <f>F$52*$B$25+$B66</f>
        <v>3770000</v>
      </c>
      <c r="G66" s="13">
        <f>G$52*$B$25+100000+$B66</f>
        <v>4620000</v>
      </c>
      <c r="H66" s="13">
        <f>H$52*$B$25+100000+$B66</f>
        <v>5370000</v>
      </c>
      <c r="I66" s="13">
        <f>I$52*$B$25+100000+$B66</f>
        <v>6870000</v>
      </c>
      <c r="J66" s="13">
        <f>J$52*$B$25+200000+$B66</f>
        <v>8470000</v>
      </c>
      <c r="K66" s="13"/>
      <c r="L66" s="13"/>
      <c r="M66" s="13"/>
      <c r="N66" s="13"/>
      <c r="AE66" s="10"/>
      <c r="AF66" s="13"/>
      <c r="AG66" s="13"/>
      <c r="AH66" s="13"/>
      <c r="AI66" s="13"/>
      <c r="AJ66" s="13"/>
      <c r="AK66" s="13"/>
      <c r="AL66" s="13"/>
      <c r="AM66" s="13"/>
      <c r="AN66" s="13"/>
      <c r="AO66" s="13"/>
    </row>
    <row r="67" spans="1:41" x14ac:dyDescent="0.25">
      <c r="A67" s="8"/>
      <c r="B67" s="13"/>
      <c r="C67" s="13"/>
      <c r="D67" s="13"/>
      <c r="E67" s="13"/>
      <c r="F67" s="13"/>
      <c r="G67" s="13"/>
      <c r="H67" s="13"/>
      <c r="I67" s="13"/>
      <c r="J67" s="13"/>
      <c r="K67" s="13"/>
      <c r="L67" s="13"/>
      <c r="M67" s="13"/>
      <c r="N67" s="13"/>
      <c r="AE67" s="10"/>
      <c r="AF67" s="13"/>
      <c r="AG67" s="13"/>
      <c r="AH67" s="13"/>
      <c r="AI67" s="13"/>
      <c r="AJ67" s="13"/>
      <c r="AK67" s="13"/>
      <c r="AL67" s="13"/>
      <c r="AM67" s="13"/>
      <c r="AN67" s="13"/>
      <c r="AO67" s="13"/>
    </row>
    <row r="68" spans="1:41" x14ac:dyDescent="0.25">
      <c r="A68" s="8"/>
      <c r="B68" s="13"/>
      <c r="C68" s="13"/>
      <c r="D68" s="13"/>
      <c r="E68" s="13"/>
      <c r="F68" s="13"/>
      <c r="G68" s="13"/>
      <c r="H68" s="13"/>
      <c r="I68" s="13"/>
      <c r="J68" s="13"/>
      <c r="K68" s="13"/>
      <c r="L68" s="13"/>
      <c r="M68" s="13"/>
      <c r="N68" s="13"/>
      <c r="AE68" s="10"/>
      <c r="AF68" s="13"/>
      <c r="AG68" s="13"/>
      <c r="AH68" s="13"/>
      <c r="AI68" s="13"/>
      <c r="AJ68" s="13"/>
      <c r="AK68" s="13"/>
      <c r="AL68" s="13"/>
      <c r="AM68" s="13"/>
      <c r="AN68" s="13"/>
      <c r="AO68" s="13"/>
    </row>
    <row r="69" spans="1:41" x14ac:dyDescent="0.25">
      <c r="A69" s="16" t="s">
        <v>70</v>
      </c>
      <c r="B69" s="13"/>
      <c r="C69" s="13"/>
      <c r="D69" s="13"/>
      <c r="E69" s="13"/>
      <c r="F69" s="13"/>
      <c r="G69" s="13"/>
      <c r="H69" s="13"/>
      <c r="I69" s="13"/>
      <c r="J69" s="13"/>
      <c r="K69" s="13"/>
      <c r="L69" s="13"/>
      <c r="M69" s="13"/>
      <c r="N69" s="13"/>
      <c r="O69" s="26"/>
      <c r="P69" s="15"/>
      <c r="AE69" s="10"/>
      <c r="AF69" s="13"/>
      <c r="AG69" s="13"/>
      <c r="AH69" s="13"/>
      <c r="AI69" s="13"/>
      <c r="AJ69" s="13"/>
      <c r="AK69" s="13"/>
      <c r="AL69" s="13"/>
      <c r="AM69" s="13"/>
      <c r="AN69" s="13"/>
      <c r="AO69" s="13"/>
    </row>
    <row r="70" spans="1:41" x14ac:dyDescent="0.25">
      <c r="A70" s="8"/>
      <c r="B70" s="13"/>
      <c r="C70" s="13"/>
      <c r="D70" s="13"/>
      <c r="E70" s="13"/>
      <c r="F70" s="13"/>
      <c r="G70" s="13"/>
      <c r="H70" s="13"/>
      <c r="I70" s="13"/>
      <c r="J70" s="13"/>
      <c r="K70" s="13"/>
      <c r="L70" s="13"/>
      <c r="M70" s="13"/>
      <c r="N70" s="13"/>
      <c r="O70" s="26"/>
      <c r="P70" s="15"/>
      <c r="AE70" s="10"/>
      <c r="AF70" s="13"/>
      <c r="AG70" s="13"/>
      <c r="AH70" s="13"/>
      <c r="AI70" s="13"/>
      <c r="AJ70" s="13"/>
      <c r="AK70" s="13"/>
      <c r="AL70" s="13"/>
      <c r="AM70" s="13"/>
      <c r="AN70" s="13"/>
      <c r="AO70" s="13"/>
    </row>
    <row r="71" spans="1:41" x14ac:dyDescent="0.25">
      <c r="A71" s="18"/>
      <c r="B71" s="83">
        <v>1</v>
      </c>
      <c r="C71" s="13"/>
      <c r="F71" s="13"/>
      <c r="G71" s="13"/>
      <c r="H71" s="13"/>
      <c r="I71" s="13"/>
      <c r="J71" s="13"/>
      <c r="K71" s="13"/>
      <c r="L71" s="13"/>
      <c r="M71" s="13"/>
      <c r="N71" s="13"/>
      <c r="O71" s="26"/>
      <c r="P71" s="15"/>
      <c r="AE71" s="10"/>
      <c r="AF71" s="13"/>
      <c r="AG71" s="13"/>
      <c r="AH71" s="13"/>
      <c r="AI71" s="13"/>
      <c r="AJ71" s="13"/>
      <c r="AK71" s="13"/>
      <c r="AL71" s="13"/>
      <c r="AM71" s="13"/>
      <c r="AN71" s="13"/>
      <c r="AO71" s="13"/>
    </row>
    <row r="72" spans="1:41" x14ac:dyDescent="0.25">
      <c r="A72" s="18"/>
      <c r="B72" s="84">
        <f>B71*0.909</f>
        <v>0.90900000000000003</v>
      </c>
      <c r="F72" s="13"/>
      <c r="G72" s="13"/>
      <c r="H72" s="13"/>
      <c r="I72" s="13"/>
      <c r="J72" s="13"/>
      <c r="K72" s="13"/>
      <c r="L72" s="13"/>
      <c r="M72" s="13"/>
      <c r="N72" s="13"/>
      <c r="O72" s="26"/>
      <c r="P72" s="15"/>
      <c r="AE72" s="10"/>
      <c r="AF72" s="13"/>
      <c r="AG72" s="13"/>
      <c r="AH72" s="13"/>
      <c r="AI72" s="13"/>
      <c r="AJ72" s="13"/>
      <c r="AK72" s="13"/>
      <c r="AL72" s="13"/>
      <c r="AM72" s="13"/>
      <c r="AN72" s="13"/>
      <c r="AO72" s="13"/>
    </row>
    <row r="73" spans="1:41" x14ac:dyDescent="0.25">
      <c r="A73" s="18"/>
      <c r="B73" s="84">
        <f t="shared" ref="B73:B80" si="9">B72*0.909</f>
        <v>0.82628100000000004</v>
      </c>
      <c r="F73" s="13"/>
      <c r="G73" s="13"/>
      <c r="H73" s="13"/>
      <c r="I73" s="13"/>
      <c r="J73" s="13"/>
      <c r="K73" s="13"/>
      <c r="L73" s="13"/>
      <c r="M73" s="13"/>
      <c r="N73" s="13"/>
      <c r="O73" s="26"/>
      <c r="P73" s="15"/>
      <c r="AE73" s="10"/>
      <c r="AF73" s="13"/>
      <c r="AG73" s="13"/>
      <c r="AH73" s="13"/>
      <c r="AI73" s="13"/>
      <c r="AJ73" s="13"/>
      <c r="AK73" s="13"/>
      <c r="AL73" s="13"/>
      <c r="AM73" s="13"/>
      <c r="AN73" s="13"/>
      <c r="AO73" s="13"/>
    </row>
    <row r="74" spans="1:41" x14ac:dyDescent="0.25">
      <c r="A74" s="18"/>
      <c r="B74" s="84">
        <f t="shared" si="9"/>
        <v>0.75108942900000009</v>
      </c>
      <c r="F74" s="13"/>
      <c r="G74" s="13"/>
      <c r="H74" s="13"/>
      <c r="I74" s="13"/>
      <c r="J74" s="13"/>
      <c r="K74" s="13"/>
      <c r="L74" s="13"/>
      <c r="M74" s="13"/>
      <c r="N74" s="13"/>
      <c r="O74" s="26"/>
      <c r="P74" s="15"/>
      <c r="AE74" s="10"/>
      <c r="AF74" s="13"/>
      <c r="AG74" s="13"/>
      <c r="AH74" s="13"/>
      <c r="AI74" s="13"/>
      <c r="AJ74" s="13"/>
      <c r="AK74" s="13"/>
      <c r="AL74" s="13"/>
      <c r="AM74" s="13"/>
      <c r="AN74" s="13"/>
      <c r="AO74" s="13"/>
    </row>
    <row r="75" spans="1:41" x14ac:dyDescent="0.25">
      <c r="A75" s="18"/>
      <c r="B75" s="84">
        <f t="shared" si="9"/>
        <v>0.68274029096100008</v>
      </c>
      <c r="F75" s="13"/>
      <c r="G75" s="13"/>
      <c r="H75" s="13"/>
      <c r="I75" s="13"/>
      <c r="J75" s="13"/>
      <c r="K75" s="13"/>
      <c r="L75" s="13"/>
      <c r="M75" s="13"/>
      <c r="N75" s="13"/>
      <c r="O75" s="26"/>
      <c r="P75" s="15"/>
      <c r="AE75" s="10"/>
      <c r="AF75" s="13"/>
      <c r="AG75" s="13"/>
      <c r="AH75" s="13"/>
      <c r="AI75" s="13"/>
      <c r="AJ75" s="13"/>
      <c r="AK75" s="13"/>
      <c r="AL75" s="13"/>
      <c r="AM75" s="13"/>
      <c r="AN75" s="13"/>
      <c r="AO75" s="13"/>
    </row>
    <row r="76" spans="1:41" x14ac:dyDescent="0.25">
      <c r="A76" s="18"/>
      <c r="B76" s="84">
        <f t="shared" si="9"/>
        <v>0.62061092448354904</v>
      </c>
      <c r="F76" s="13"/>
      <c r="G76" s="13"/>
      <c r="H76" s="13"/>
      <c r="I76" s="13"/>
      <c r="J76" s="13"/>
      <c r="K76" s="13"/>
      <c r="L76" s="13"/>
      <c r="M76" s="13"/>
      <c r="N76" s="13"/>
      <c r="O76" s="26"/>
      <c r="P76" s="15"/>
      <c r="AE76" s="10"/>
      <c r="AF76" s="13"/>
      <c r="AG76" s="13"/>
      <c r="AH76" s="13"/>
      <c r="AI76" s="13"/>
      <c r="AJ76" s="13"/>
      <c r="AK76" s="13"/>
      <c r="AL76" s="13"/>
      <c r="AM76" s="13"/>
      <c r="AN76" s="13"/>
      <c r="AO76" s="13"/>
    </row>
    <row r="77" spans="1:41" x14ac:dyDescent="0.25">
      <c r="A77" s="18"/>
      <c r="B77" s="84">
        <f t="shared" si="9"/>
        <v>0.56413533035554608</v>
      </c>
      <c r="F77" s="13"/>
      <c r="G77" s="13"/>
      <c r="H77" s="13"/>
      <c r="I77" s="13"/>
      <c r="J77" s="13"/>
      <c r="K77" s="13"/>
      <c r="L77" s="13"/>
      <c r="M77" s="13"/>
      <c r="N77" s="13"/>
      <c r="O77" s="26"/>
      <c r="P77" s="15"/>
      <c r="AE77" s="10"/>
      <c r="AF77" s="13"/>
      <c r="AG77" s="13"/>
      <c r="AH77" s="13"/>
      <c r="AI77" s="13"/>
      <c r="AJ77" s="13"/>
      <c r="AK77" s="13"/>
      <c r="AL77" s="13"/>
      <c r="AM77" s="13"/>
      <c r="AN77" s="13"/>
      <c r="AO77" s="13"/>
    </row>
    <row r="78" spans="1:41" x14ac:dyDescent="0.25">
      <c r="A78" s="18"/>
      <c r="B78" s="84">
        <f t="shared" si="9"/>
        <v>0.51279901529319138</v>
      </c>
      <c r="F78" s="13"/>
      <c r="G78" s="13"/>
      <c r="H78" s="13"/>
      <c r="I78" s="13"/>
      <c r="J78" s="13"/>
      <c r="K78" s="13"/>
      <c r="L78" s="13"/>
      <c r="M78" s="13"/>
      <c r="N78" s="13"/>
      <c r="O78" s="26"/>
      <c r="P78" s="15"/>
      <c r="AE78" s="10"/>
      <c r="AF78" s="13"/>
      <c r="AG78" s="13"/>
      <c r="AH78" s="13"/>
      <c r="AI78" s="13"/>
      <c r="AJ78" s="13"/>
      <c r="AK78" s="13"/>
      <c r="AL78" s="13"/>
      <c r="AM78" s="13"/>
      <c r="AN78" s="13"/>
      <c r="AO78" s="13"/>
    </row>
    <row r="79" spans="1:41" x14ac:dyDescent="0.25">
      <c r="A79" s="18"/>
      <c r="B79" s="84">
        <f t="shared" si="9"/>
        <v>0.46613430490151098</v>
      </c>
      <c r="F79" s="13"/>
      <c r="G79" s="13"/>
      <c r="H79" s="13"/>
      <c r="I79" s="13"/>
      <c r="J79" s="13"/>
      <c r="K79" s="13"/>
      <c r="L79" s="13"/>
      <c r="M79" s="13"/>
      <c r="N79" s="13"/>
      <c r="O79" s="26"/>
      <c r="P79" s="15"/>
      <c r="AE79" s="10"/>
      <c r="AF79" s="13"/>
      <c r="AG79" s="13"/>
      <c r="AH79" s="13"/>
      <c r="AI79" s="13"/>
      <c r="AJ79" s="13"/>
      <c r="AK79" s="13"/>
      <c r="AL79" s="13"/>
      <c r="AM79" s="13"/>
      <c r="AN79" s="13"/>
      <c r="AO79" s="13"/>
    </row>
    <row r="80" spans="1:41" x14ac:dyDescent="0.25">
      <c r="A80" s="18"/>
      <c r="B80" s="84">
        <f t="shared" si="9"/>
        <v>0.42371608315547349</v>
      </c>
      <c r="F80" s="13"/>
      <c r="G80" s="13"/>
      <c r="H80" s="13"/>
      <c r="I80" s="13"/>
      <c r="J80" s="13"/>
      <c r="K80" s="13"/>
      <c r="L80" s="13"/>
      <c r="M80" s="13"/>
      <c r="N80" s="13"/>
      <c r="O80" s="26"/>
      <c r="P80" s="15"/>
      <c r="AE80" s="10"/>
      <c r="AF80" s="13"/>
      <c r="AG80" s="13"/>
      <c r="AH80" s="13"/>
      <c r="AI80" s="13"/>
      <c r="AJ80" s="13"/>
      <c r="AK80" s="13"/>
      <c r="AL80" s="13"/>
      <c r="AM80" s="13"/>
      <c r="AN80" s="13"/>
      <c r="AO80" s="13"/>
    </row>
    <row r="81" spans="1:41" x14ac:dyDescent="0.25">
      <c r="A81" s="18"/>
      <c r="B81" s="84">
        <f>SUM(B71:B80)</f>
        <v>6.756506378150271</v>
      </c>
      <c r="F81" s="13"/>
      <c r="G81" s="13"/>
      <c r="H81" s="13"/>
      <c r="I81" s="13"/>
      <c r="J81" s="13"/>
      <c r="K81" s="13"/>
      <c r="L81" s="13"/>
      <c r="M81" s="13"/>
      <c r="N81" s="13"/>
      <c r="O81" s="26"/>
      <c r="P81" s="15"/>
      <c r="AE81" s="10"/>
      <c r="AF81" s="13"/>
      <c r="AG81" s="13"/>
      <c r="AH81" s="13"/>
      <c r="AI81" s="13"/>
      <c r="AJ81" s="13"/>
      <c r="AK81" s="13"/>
      <c r="AL81" s="13"/>
      <c r="AM81" s="13"/>
      <c r="AN81" s="13"/>
      <c r="AO81" s="13"/>
    </row>
    <row r="82" spans="1:41" x14ac:dyDescent="0.25">
      <c r="A82" s="18"/>
      <c r="B82" s="84"/>
      <c r="F82" s="13"/>
      <c r="G82" s="13"/>
      <c r="H82" s="13"/>
      <c r="I82" s="13"/>
      <c r="J82" s="13"/>
      <c r="K82" s="13"/>
      <c r="L82" s="13"/>
      <c r="M82" s="13"/>
      <c r="N82" s="13"/>
      <c r="O82" s="26"/>
      <c r="P82" s="15"/>
      <c r="AE82" s="10"/>
      <c r="AF82" s="13"/>
      <c r="AG82" s="13"/>
      <c r="AH82" s="13"/>
      <c r="AI82" s="13"/>
      <c r="AJ82" s="13"/>
      <c r="AK82" s="13"/>
      <c r="AL82" s="13"/>
      <c r="AM82" s="13"/>
      <c r="AN82" s="13"/>
      <c r="AO82" s="13"/>
    </row>
    <row r="83" spans="1:41" ht="16.5" thickBot="1" x14ac:dyDescent="0.3">
      <c r="A83" s="18"/>
      <c r="B83" s="82">
        <f>B81</f>
        <v>6.756506378150271</v>
      </c>
      <c r="C83" s="16" t="s">
        <v>27</v>
      </c>
      <c r="F83" s="13"/>
      <c r="G83" s="13"/>
      <c r="H83" s="13"/>
      <c r="I83" s="13"/>
      <c r="J83" s="13"/>
      <c r="K83" s="13"/>
      <c r="L83" s="13"/>
      <c r="M83" s="13"/>
      <c r="N83" s="13"/>
      <c r="O83" s="26"/>
      <c r="P83" s="15"/>
      <c r="AE83" s="10"/>
      <c r="AF83" s="13"/>
      <c r="AG83" s="13"/>
      <c r="AH83" s="13"/>
      <c r="AI83" s="13"/>
      <c r="AJ83" s="13"/>
      <c r="AK83" s="13"/>
      <c r="AL83" s="13"/>
      <c r="AM83" s="13"/>
      <c r="AN83" s="13"/>
      <c r="AO83" s="13"/>
    </row>
    <row r="84" spans="1:41" x14ac:dyDescent="0.25">
      <c r="A84" s="8"/>
      <c r="B84" s="13"/>
      <c r="C84" s="13"/>
      <c r="D84" s="13"/>
      <c r="E84" s="13"/>
      <c r="F84" s="13"/>
      <c r="G84" s="13"/>
      <c r="H84" s="13"/>
      <c r="I84" s="13"/>
      <c r="J84" s="13"/>
      <c r="K84" s="13"/>
      <c r="L84" s="13"/>
      <c r="M84" s="13"/>
      <c r="N84" s="13"/>
      <c r="O84" s="26"/>
      <c r="P84" s="15"/>
      <c r="AE84" s="10"/>
      <c r="AF84" s="13"/>
      <c r="AG84" s="13"/>
      <c r="AH84" s="13"/>
      <c r="AI84" s="13"/>
      <c r="AJ84" s="13"/>
      <c r="AK84" s="13"/>
      <c r="AL84" s="13"/>
      <c r="AM84" s="13"/>
      <c r="AN84" s="13"/>
      <c r="AO84" s="13"/>
    </row>
    <row r="85" spans="1:41" x14ac:dyDescent="0.25">
      <c r="A85" s="16" t="s">
        <v>79</v>
      </c>
      <c r="B85" s="13"/>
      <c r="C85" s="13"/>
      <c r="D85" s="13"/>
      <c r="E85" s="13"/>
      <c r="F85" s="13"/>
      <c r="G85" s="13"/>
      <c r="H85" s="13"/>
      <c r="I85" s="13"/>
      <c r="J85" s="13"/>
      <c r="K85" s="13"/>
      <c r="L85" s="13"/>
      <c r="M85" s="13"/>
      <c r="N85" s="13"/>
      <c r="O85" s="26"/>
      <c r="P85" s="15"/>
      <c r="AE85" s="10"/>
      <c r="AF85" s="13"/>
      <c r="AG85" s="13"/>
      <c r="AH85" s="13"/>
      <c r="AI85" s="13"/>
      <c r="AJ85" s="13"/>
      <c r="AK85" s="13"/>
      <c r="AL85" s="13"/>
      <c r="AM85" s="13"/>
      <c r="AN85" s="13"/>
      <c r="AO85" s="13"/>
    </row>
    <row r="86" spans="1:41" x14ac:dyDescent="0.25">
      <c r="B86" s="13"/>
      <c r="C86" s="13"/>
      <c r="D86" s="13"/>
      <c r="E86" s="27"/>
      <c r="F86" s="13"/>
      <c r="G86" s="13"/>
      <c r="H86" s="13"/>
      <c r="I86" s="13"/>
      <c r="J86" s="13"/>
      <c r="K86" s="13"/>
      <c r="L86" s="13"/>
      <c r="M86" s="13"/>
      <c r="N86" s="13"/>
      <c r="AE86" s="10"/>
      <c r="AF86" s="13"/>
      <c r="AG86" s="13"/>
      <c r="AH86" s="13"/>
      <c r="AI86" s="13"/>
      <c r="AJ86" s="13"/>
      <c r="AK86" s="13"/>
      <c r="AL86" s="13"/>
      <c r="AM86" s="13"/>
      <c r="AN86" s="13"/>
      <c r="AO86" s="21"/>
    </row>
    <row r="87" spans="1:41" x14ac:dyDescent="0.25">
      <c r="B87" s="9" t="s">
        <v>37</v>
      </c>
      <c r="C87" s="22"/>
      <c r="D87" s="22"/>
      <c r="E87" s="22"/>
      <c r="F87" s="22"/>
      <c r="G87" s="22"/>
      <c r="H87" s="22"/>
      <c r="I87" s="22"/>
      <c r="J87" s="22"/>
      <c r="K87" s="22"/>
      <c r="L87" s="22"/>
      <c r="M87" s="22"/>
      <c r="N87" s="22"/>
      <c r="AE87" s="10"/>
      <c r="AF87" s="13"/>
      <c r="AG87" s="13"/>
      <c r="AH87" s="13"/>
      <c r="AI87" s="13"/>
      <c r="AJ87" s="13"/>
      <c r="AK87" s="13"/>
      <c r="AL87" s="13"/>
      <c r="AM87" s="13"/>
      <c r="AN87" s="13"/>
      <c r="AO87" s="21"/>
    </row>
    <row r="88" spans="1:41" x14ac:dyDescent="0.25">
      <c r="A88" s="15" t="s">
        <v>88</v>
      </c>
      <c r="B88" s="22">
        <v>0</v>
      </c>
      <c r="C88" s="22">
        <v>5</v>
      </c>
      <c r="D88" s="22">
        <v>10</v>
      </c>
      <c r="E88" s="22">
        <v>15</v>
      </c>
      <c r="F88" s="22">
        <v>20</v>
      </c>
      <c r="G88" s="22">
        <v>25</v>
      </c>
      <c r="H88" s="22">
        <v>30</v>
      </c>
      <c r="I88" s="22">
        <v>40</v>
      </c>
      <c r="J88" s="22">
        <v>50</v>
      </c>
      <c r="K88" s="22"/>
      <c r="L88" s="22"/>
      <c r="M88" s="22"/>
      <c r="N88" s="22"/>
      <c r="P88" s="10"/>
      <c r="AE88" s="10"/>
      <c r="AF88" s="13"/>
      <c r="AG88" s="13"/>
      <c r="AH88" s="13"/>
      <c r="AI88" s="13"/>
      <c r="AJ88" s="13"/>
      <c r="AK88" s="13"/>
      <c r="AL88" s="13"/>
      <c r="AM88" s="13"/>
      <c r="AN88" s="13"/>
      <c r="AO88" s="21"/>
    </row>
    <row r="89" spans="1:41" x14ac:dyDescent="0.25">
      <c r="A89" s="8" t="s">
        <v>44</v>
      </c>
      <c r="B89" s="13">
        <f>B53/$B$83</f>
        <v>521719.33284921123</v>
      </c>
      <c r="C89" s="13">
        <f>C53/$B$83</f>
        <v>784429.06783001975</v>
      </c>
      <c r="D89" s="13">
        <f t="shared" ref="D89:J89" si="10">D53/$B$83</f>
        <v>1047138.8028108282</v>
      </c>
      <c r="E89" s="13">
        <f t="shared" si="10"/>
        <v>1309848.5377916368</v>
      </c>
      <c r="F89" s="13">
        <f t="shared" si="10"/>
        <v>1747204.7444779968</v>
      </c>
      <c r="G89" s="13">
        <f t="shared" si="10"/>
        <v>2068376.6458348162</v>
      </c>
      <c r="H89" s="13">
        <f t="shared" si="10"/>
        <v>2374747.9987420128</v>
      </c>
      <c r="I89" s="13">
        <f t="shared" si="10"/>
        <v>2987490.7045564055</v>
      </c>
      <c r="J89" s="13">
        <f t="shared" si="10"/>
        <v>3615033.9588204212</v>
      </c>
      <c r="K89" s="13"/>
      <c r="L89" s="13"/>
      <c r="M89" s="13"/>
      <c r="N89" s="13"/>
      <c r="AE89" s="10"/>
      <c r="AF89" s="13"/>
      <c r="AG89" s="13"/>
      <c r="AH89" s="13"/>
      <c r="AI89" s="13"/>
      <c r="AJ89" s="13"/>
      <c r="AK89" s="13"/>
      <c r="AL89" s="13"/>
      <c r="AM89" s="13"/>
      <c r="AN89" s="13"/>
      <c r="AO89" s="21"/>
    </row>
    <row r="90" spans="1:41" x14ac:dyDescent="0.25">
      <c r="A90" s="8" t="s">
        <v>45</v>
      </c>
      <c r="B90" s="13">
        <f t="shared" ref="B90:J90" si="11">B54/$B$83</f>
        <v>463257.16647320037</v>
      </c>
      <c r="C90" s="13">
        <f t="shared" si="11"/>
        <v>725966.90145400888</v>
      </c>
      <c r="D90" s="13">
        <f t="shared" si="11"/>
        <v>988676.63643481734</v>
      </c>
      <c r="E90" s="13">
        <f t="shared" si="11"/>
        <v>1251386.3714156258</v>
      </c>
      <c r="F90" s="13">
        <f t="shared" si="11"/>
        <v>1514096.1063964344</v>
      </c>
      <c r="G90" s="13">
        <f t="shared" si="11"/>
        <v>1791606.3898268659</v>
      </c>
      <c r="H90" s="13">
        <f t="shared" si="11"/>
        <v>2316285.8323660018</v>
      </c>
      <c r="I90" s="13">
        <f t="shared" si="11"/>
        <v>2929028.5381803946</v>
      </c>
      <c r="J90" s="13">
        <f t="shared" si="11"/>
        <v>3556571.7924444103</v>
      </c>
      <c r="K90" s="13"/>
      <c r="L90" s="13"/>
      <c r="M90" s="13"/>
      <c r="N90" s="13"/>
      <c r="AE90" s="10"/>
      <c r="AF90" s="13"/>
      <c r="AG90" s="13"/>
      <c r="AH90" s="13"/>
      <c r="AI90" s="13"/>
      <c r="AJ90" s="13"/>
      <c r="AK90" s="13"/>
      <c r="AL90" s="13"/>
      <c r="AM90" s="13"/>
      <c r="AN90" s="13"/>
      <c r="AO90" s="21"/>
    </row>
    <row r="91" spans="1:41" x14ac:dyDescent="0.25">
      <c r="A91" s="8" t="s">
        <v>46</v>
      </c>
      <c r="B91" s="13">
        <f t="shared" ref="B91:J91" si="12">B55/$B$83</f>
        <v>433656.06957395433</v>
      </c>
      <c r="C91" s="13">
        <f t="shared" si="12"/>
        <v>610337.61669132905</v>
      </c>
      <c r="D91" s="13">
        <f t="shared" si="12"/>
        <v>959075.53953557136</v>
      </c>
      <c r="E91" s="13">
        <f t="shared" si="12"/>
        <v>1221785.2745163799</v>
      </c>
      <c r="F91" s="13">
        <f t="shared" si="12"/>
        <v>1484495.0094971883</v>
      </c>
      <c r="G91" s="13">
        <f t="shared" si="12"/>
        <v>1762005.2929276198</v>
      </c>
      <c r="H91" s="13">
        <f t="shared" si="12"/>
        <v>2024715.0279084283</v>
      </c>
      <c r="I91" s="13">
        <f t="shared" si="12"/>
        <v>2899427.4412811487</v>
      </c>
      <c r="J91" s="13">
        <f t="shared" si="12"/>
        <v>3526970.6955451644</v>
      </c>
      <c r="K91" s="13"/>
      <c r="L91" s="13"/>
      <c r="M91" s="13"/>
      <c r="N91" s="13"/>
      <c r="AE91" s="10"/>
      <c r="AF91" s="13"/>
      <c r="AG91" s="13"/>
      <c r="AH91" s="13"/>
      <c r="AI91" s="13"/>
      <c r="AJ91" s="13"/>
      <c r="AK91" s="13"/>
      <c r="AL91" s="13"/>
      <c r="AM91" s="13"/>
      <c r="AN91" s="13"/>
      <c r="AO91" s="21"/>
    </row>
    <row r="92" spans="1:41" x14ac:dyDescent="0.25">
      <c r="A92" s="8" t="s">
        <v>47</v>
      </c>
      <c r="B92" s="13">
        <f t="shared" ref="B92:J92" si="13">B56/$B$83</f>
        <v>389254.4242250853</v>
      </c>
      <c r="C92" s="13">
        <f t="shared" si="13"/>
        <v>565935.97134246002</v>
      </c>
      <c r="D92" s="13">
        <f t="shared" si="13"/>
        <v>742617.51845983474</v>
      </c>
      <c r="E92" s="13">
        <f t="shared" si="13"/>
        <v>1177383.6291675107</v>
      </c>
      <c r="F92" s="13">
        <f t="shared" si="13"/>
        <v>1440093.3641483192</v>
      </c>
      <c r="G92" s="13">
        <f t="shared" si="13"/>
        <v>1717603.6475787507</v>
      </c>
      <c r="H92" s="13">
        <f t="shared" si="13"/>
        <v>1980313.3825595593</v>
      </c>
      <c r="I92" s="13">
        <f t="shared" si="13"/>
        <v>2855025.7959322794</v>
      </c>
      <c r="J92" s="13">
        <f t="shared" si="13"/>
        <v>3045952.8709324165</v>
      </c>
      <c r="K92" s="13"/>
      <c r="L92" s="13"/>
      <c r="M92" s="13"/>
      <c r="N92" s="13"/>
      <c r="AE92" s="10"/>
      <c r="AF92" s="13"/>
      <c r="AG92" s="13"/>
      <c r="AH92" s="13"/>
      <c r="AI92" s="13"/>
      <c r="AJ92" s="13"/>
      <c r="AK92" s="13"/>
      <c r="AL92" s="13"/>
      <c r="AM92" s="13"/>
      <c r="AN92" s="13"/>
      <c r="AO92" s="21"/>
    </row>
    <row r="93" spans="1:41" x14ac:dyDescent="0.25">
      <c r="A93" s="8" t="s">
        <v>8</v>
      </c>
      <c r="B93" s="13">
        <f t="shared" ref="B93:J93" si="14">B57/$B$83</f>
        <v>389254.4242250853</v>
      </c>
      <c r="C93" s="13">
        <f t="shared" si="14"/>
        <v>565935.97134246002</v>
      </c>
      <c r="D93" s="13">
        <f t="shared" si="14"/>
        <v>742617.51845983474</v>
      </c>
      <c r="E93" s="13">
        <f t="shared" si="14"/>
        <v>919299.06557720946</v>
      </c>
      <c r="F93" s="13">
        <f t="shared" si="14"/>
        <v>1095980.6126945843</v>
      </c>
      <c r="G93" s="13">
        <f t="shared" si="14"/>
        <v>1717603.6475787507</v>
      </c>
      <c r="H93" s="13">
        <f t="shared" si="14"/>
        <v>1980313.3825595593</v>
      </c>
      <c r="I93" s="13">
        <f t="shared" si="14"/>
        <v>2855025.7959322794</v>
      </c>
      <c r="J93" s="13">
        <f t="shared" si="14"/>
        <v>3045952.8709324165</v>
      </c>
      <c r="K93" s="13"/>
      <c r="L93" s="13"/>
      <c r="M93" s="13"/>
      <c r="N93" s="13"/>
      <c r="AE93" s="10"/>
      <c r="AF93" s="13"/>
      <c r="AG93" s="13"/>
      <c r="AH93" s="13"/>
      <c r="AI93" s="13"/>
      <c r="AJ93" s="13"/>
      <c r="AK93" s="13"/>
      <c r="AL93" s="13"/>
      <c r="AM93" s="13"/>
      <c r="AN93" s="13"/>
      <c r="AO93" s="21"/>
    </row>
    <row r="94" spans="1:41" x14ac:dyDescent="0.25">
      <c r="A94" s="8" t="s">
        <v>9</v>
      </c>
      <c r="B94" s="13">
        <f t="shared" ref="B94:J94" si="15">B58/$B$83</f>
        <v>336712.47722892358</v>
      </c>
      <c r="C94" s="13">
        <f t="shared" si="15"/>
        <v>513394.02434629831</v>
      </c>
      <c r="D94" s="13">
        <f t="shared" si="15"/>
        <v>690075.57146367303</v>
      </c>
      <c r="E94" s="13">
        <f t="shared" si="15"/>
        <v>866757.11858104775</v>
      </c>
      <c r="F94" s="13">
        <f t="shared" si="15"/>
        <v>1043438.6656984225</v>
      </c>
      <c r="G94" s="13">
        <f t="shared" si="15"/>
        <v>1234920.7612654204</v>
      </c>
      <c r="H94" s="13">
        <f t="shared" si="15"/>
        <v>1411602.308382795</v>
      </c>
      <c r="I94" s="13">
        <f t="shared" si="15"/>
        <v>2802483.8489361177</v>
      </c>
      <c r="J94" s="13">
        <f t="shared" si="15"/>
        <v>2993410.9239362548</v>
      </c>
      <c r="K94" s="13"/>
      <c r="L94" s="13"/>
      <c r="M94" s="13"/>
      <c r="N94" s="13"/>
      <c r="AE94" s="21"/>
      <c r="AF94" s="21"/>
      <c r="AG94" s="21"/>
      <c r="AH94" s="21"/>
      <c r="AI94" s="21"/>
      <c r="AJ94" s="21"/>
      <c r="AK94" s="21"/>
      <c r="AL94" s="21"/>
      <c r="AM94" s="21"/>
      <c r="AN94" s="21"/>
    </row>
    <row r="95" spans="1:41" x14ac:dyDescent="0.25">
      <c r="A95" s="8" t="s">
        <v>10</v>
      </c>
      <c r="B95" s="13">
        <f t="shared" ref="B95:J95" si="16">B59/$B$83</f>
        <v>287130.6399226865</v>
      </c>
      <c r="C95" s="13">
        <f t="shared" si="16"/>
        <v>436986.19297511951</v>
      </c>
      <c r="D95" s="13">
        <f t="shared" si="16"/>
        <v>640493.73415743595</v>
      </c>
      <c r="E95" s="13">
        <f t="shared" si="16"/>
        <v>817175.28127481067</v>
      </c>
      <c r="F95" s="13">
        <f t="shared" si="16"/>
        <v>993856.82839218539</v>
      </c>
      <c r="G95" s="13">
        <f t="shared" si="16"/>
        <v>1185338.923959183</v>
      </c>
      <c r="H95" s="13">
        <f t="shared" si="16"/>
        <v>1362020.4710765579</v>
      </c>
      <c r="I95" s="13">
        <f t="shared" si="16"/>
        <v>2752902.0116298804</v>
      </c>
      <c r="J95" s="13">
        <f t="shared" si="16"/>
        <v>2083547.2079956799</v>
      </c>
      <c r="K95" s="13"/>
      <c r="L95" s="13"/>
      <c r="M95" s="13"/>
      <c r="N95" s="13"/>
      <c r="O95" s="13"/>
      <c r="AE95" s="10"/>
    </row>
    <row r="96" spans="1:41" x14ac:dyDescent="0.25">
      <c r="A96" s="8" t="s">
        <v>11</v>
      </c>
      <c r="B96" s="13">
        <f t="shared" ref="B96:J96" si="17">B60/$B$83</f>
        <v>281950.4479653184</v>
      </c>
      <c r="C96" s="13">
        <f t="shared" si="17"/>
        <v>431806.00101775146</v>
      </c>
      <c r="D96" s="13">
        <f t="shared" si="17"/>
        <v>581661.55407018447</v>
      </c>
      <c r="E96" s="13">
        <f t="shared" si="17"/>
        <v>731517.10712261742</v>
      </c>
      <c r="F96" s="13">
        <f t="shared" si="17"/>
        <v>988676.63643481734</v>
      </c>
      <c r="G96" s="13">
        <f t="shared" si="17"/>
        <v>1180158.732001815</v>
      </c>
      <c r="H96" s="13">
        <f t="shared" si="17"/>
        <v>1356840.2791191898</v>
      </c>
      <c r="I96" s="13">
        <f t="shared" si="17"/>
        <v>2747721.8196725124</v>
      </c>
      <c r="J96" s="13">
        <f t="shared" si="17"/>
        <v>2078367.0160383119</v>
      </c>
      <c r="K96" s="13"/>
      <c r="L96" s="13"/>
      <c r="M96" s="13"/>
      <c r="N96" s="13"/>
      <c r="O96" s="13"/>
    </row>
    <row r="97" spans="1:41" x14ac:dyDescent="0.25">
      <c r="A97" s="8" t="s">
        <v>12</v>
      </c>
      <c r="B97" s="13">
        <f t="shared" ref="B97:J97" si="18">B61/$B$83</f>
        <v>222748.25416682637</v>
      </c>
      <c r="C97" s="13">
        <f t="shared" si="18"/>
        <v>361503.39588204212</v>
      </c>
      <c r="D97" s="13">
        <f t="shared" si="18"/>
        <v>500258.53759725788</v>
      </c>
      <c r="E97" s="13">
        <f t="shared" si="18"/>
        <v>672314.91332412546</v>
      </c>
      <c r="F97" s="13">
        <f t="shared" si="18"/>
        <v>822170.46637655841</v>
      </c>
      <c r="G97" s="13">
        <f t="shared" si="18"/>
        <v>986826.56787861441</v>
      </c>
      <c r="H97" s="13">
        <f t="shared" si="18"/>
        <v>1136682.1209310475</v>
      </c>
      <c r="I97" s="13">
        <f t="shared" si="18"/>
        <v>1436393.2270359136</v>
      </c>
      <c r="J97" s="13">
        <f t="shared" si="18"/>
        <v>1750904.8815904027</v>
      </c>
      <c r="K97" s="13"/>
      <c r="L97" s="13"/>
      <c r="M97" s="13"/>
      <c r="N97" s="13"/>
      <c r="O97" s="13"/>
    </row>
    <row r="98" spans="1:41" x14ac:dyDescent="0.25">
      <c r="A98" s="8" t="s">
        <v>13</v>
      </c>
      <c r="B98" s="13">
        <f t="shared" ref="B98:J98" si="19">B62/$B$83</f>
        <v>162066.005523372</v>
      </c>
      <c r="C98" s="13">
        <f t="shared" si="19"/>
        <v>273070.11889554461</v>
      </c>
      <c r="D98" s="13">
        <f t="shared" si="19"/>
        <v>439576.28895380354</v>
      </c>
      <c r="E98" s="13">
        <f t="shared" si="19"/>
        <v>578331.43066901923</v>
      </c>
      <c r="F98" s="13">
        <f t="shared" si="19"/>
        <v>717086.57238423498</v>
      </c>
      <c r="G98" s="13">
        <f t="shared" si="19"/>
        <v>870642.26254907378</v>
      </c>
      <c r="H98" s="13">
        <f t="shared" si="19"/>
        <v>1009397.4042642895</v>
      </c>
      <c r="I98" s="13">
        <f t="shared" si="19"/>
        <v>1286907.6876947212</v>
      </c>
      <c r="J98" s="13">
        <f t="shared" si="19"/>
        <v>1690222.6329469483</v>
      </c>
      <c r="K98" s="13"/>
      <c r="L98" s="13"/>
      <c r="M98" s="13"/>
      <c r="N98" s="13"/>
      <c r="O98" s="13"/>
    </row>
    <row r="99" spans="1:41" x14ac:dyDescent="0.25">
      <c r="A99" s="8" t="s">
        <v>14</v>
      </c>
      <c r="B99" s="13">
        <f t="shared" ref="B99:J99" si="20">B63/$B$83</f>
        <v>162066.005523372</v>
      </c>
      <c r="C99" s="13">
        <f t="shared" si="20"/>
        <v>273070.11889554461</v>
      </c>
      <c r="D99" s="13">
        <f t="shared" si="20"/>
        <v>439576.28895380354</v>
      </c>
      <c r="E99" s="13">
        <f t="shared" si="20"/>
        <v>578331.43066901923</v>
      </c>
      <c r="F99" s="13">
        <f t="shared" si="20"/>
        <v>717086.57238423498</v>
      </c>
      <c r="G99" s="13">
        <f t="shared" si="20"/>
        <v>870642.26254907378</v>
      </c>
      <c r="H99" s="13">
        <f t="shared" si="20"/>
        <v>1009397.4042642895</v>
      </c>
      <c r="I99" s="13">
        <f t="shared" si="20"/>
        <v>1286907.6876947212</v>
      </c>
      <c r="J99" s="13">
        <f t="shared" si="20"/>
        <v>1579218.5195747756</v>
      </c>
      <c r="K99" s="13"/>
      <c r="L99" s="13"/>
      <c r="M99" s="13"/>
      <c r="N99" s="13"/>
      <c r="O99" s="13"/>
    </row>
    <row r="100" spans="1:41" x14ac:dyDescent="0.25">
      <c r="A100" s="8" t="s">
        <v>15</v>
      </c>
      <c r="B100" s="13">
        <f t="shared" ref="B100:J100" si="21">B64/$B$83</f>
        <v>135425.01831405057</v>
      </c>
      <c r="C100" s="13">
        <f t="shared" si="21"/>
        <v>246429.13168622318</v>
      </c>
      <c r="D100" s="13">
        <f t="shared" si="21"/>
        <v>357433.24505839578</v>
      </c>
      <c r="E100" s="13">
        <f t="shared" si="21"/>
        <v>468437.35843056842</v>
      </c>
      <c r="F100" s="13">
        <f t="shared" si="21"/>
        <v>690445.58517491363</v>
      </c>
      <c r="G100" s="13">
        <f t="shared" si="21"/>
        <v>844001.27533975244</v>
      </c>
      <c r="H100" s="13">
        <f t="shared" si="21"/>
        <v>982756.41705496819</v>
      </c>
      <c r="I100" s="13">
        <f t="shared" si="21"/>
        <v>1260266.7004853997</v>
      </c>
      <c r="J100" s="13">
        <f t="shared" si="21"/>
        <v>1552577.5323654541</v>
      </c>
      <c r="K100" s="13"/>
      <c r="L100" s="13"/>
      <c r="M100" s="13"/>
      <c r="N100" s="13"/>
      <c r="O100" s="13"/>
    </row>
    <row r="101" spans="1:41" x14ac:dyDescent="0.25">
      <c r="A101" s="8" t="s">
        <v>16</v>
      </c>
      <c r="B101" s="13">
        <f t="shared" ref="B101:J101" si="22">B65/$B$83</f>
        <v>135425.01831405057</v>
      </c>
      <c r="C101" s="13">
        <f t="shared" si="22"/>
        <v>246429.13168622318</v>
      </c>
      <c r="D101" s="13">
        <f t="shared" si="22"/>
        <v>357433.24505839578</v>
      </c>
      <c r="E101" s="13">
        <f t="shared" si="22"/>
        <v>468437.35843056842</v>
      </c>
      <c r="F101" s="13">
        <f t="shared" si="22"/>
        <v>579441.47180274106</v>
      </c>
      <c r="G101" s="13">
        <f t="shared" si="22"/>
        <v>705246.13362453657</v>
      </c>
      <c r="H101" s="13">
        <f t="shared" si="22"/>
        <v>816250.24699670926</v>
      </c>
      <c r="I101" s="13">
        <f t="shared" si="22"/>
        <v>1260266.7004853997</v>
      </c>
      <c r="J101" s="13">
        <f t="shared" si="22"/>
        <v>1552577.5323654541</v>
      </c>
      <c r="K101" s="13"/>
      <c r="L101" s="13"/>
      <c r="M101" s="13"/>
      <c r="N101" s="13"/>
      <c r="O101" s="13"/>
    </row>
    <row r="102" spans="1:41" x14ac:dyDescent="0.25">
      <c r="A102" s="8" t="s">
        <v>17</v>
      </c>
      <c r="B102" s="13">
        <f t="shared" ref="B102:I102" si="23">B66/$B$83</f>
        <v>113964.22306209721</v>
      </c>
      <c r="C102" s="13">
        <f t="shared" si="23"/>
        <v>206467.65087224104</v>
      </c>
      <c r="D102" s="13">
        <f t="shared" si="23"/>
        <v>335972.44980644243</v>
      </c>
      <c r="E102" s="13">
        <f t="shared" si="23"/>
        <v>446976.563178615</v>
      </c>
      <c r="F102" s="13">
        <f t="shared" si="23"/>
        <v>557980.67655078764</v>
      </c>
      <c r="G102" s="13">
        <f t="shared" si="23"/>
        <v>683785.33837258327</v>
      </c>
      <c r="H102" s="13">
        <f t="shared" si="23"/>
        <v>794789.45174475585</v>
      </c>
      <c r="I102" s="13">
        <f t="shared" si="23"/>
        <v>1016797.6784891011</v>
      </c>
      <c r="J102" s="13">
        <f>J66/$B$83</f>
        <v>1253606.4536830692</v>
      </c>
      <c r="K102" s="13"/>
      <c r="L102" s="13"/>
      <c r="M102" s="13"/>
      <c r="N102" s="13"/>
      <c r="O102" s="13"/>
      <c r="AE102" s="15"/>
    </row>
    <row r="103" spans="1:41" x14ac:dyDescent="0.25">
      <c r="A103" s="8"/>
      <c r="B103" s="13"/>
      <c r="C103" s="13"/>
      <c r="D103" s="13"/>
      <c r="E103" s="13"/>
      <c r="F103" s="13"/>
      <c r="G103" s="13"/>
      <c r="H103" s="13"/>
      <c r="I103" s="13"/>
      <c r="J103" s="13"/>
      <c r="K103" s="13"/>
      <c r="L103" s="13"/>
      <c r="M103" s="13"/>
      <c r="N103" s="13"/>
      <c r="O103" s="13"/>
      <c r="AE103" s="15"/>
    </row>
    <row r="104" spans="1:41" x14ac:dyDescent="0.25">
      <c r="A104" s="16" t="s">
        <v>72</v>
      </c>
      <c r="B104" s="37" t="s">
        <v>48</v>
      </c>
      <c r="C104" s="13"/>
      <c r="D104" s="13"/>
      <c r="E104" s="13"/>
      <c r="F104" s="13"/>
      <c r="G104" s="13"/>
      <c r="H104" s="13"/>
      <c r="I104" s="13"/>
      <c r="J104" s="21"/>
      <c r="K104" s="21"/>
      <c r="L104" s="21"/>
      <c r="M104" s="21"/>
      <c r="N104" s="21"/>
      <c r="O104" s="21"/>
      <c r="P104" s="21"/>
      <c r="Q104" s="21"/>
      <c r="R104" s="21"/>
      <c r="AE104" s="15"/>
    </row>
    <row r="105" spans="1:41" x14ac:dyDescent="0.25">
      <c r="A105" s="8"/>
      <c r="B105" s="9" t="s">
        <v>37</v>
      </c>
      <c r="C105" s="22"/>
      <c r="D105" s="22"/>
      <c r="E105" s="22"/>
      <c r="F105" s="22"/>
      <c r="G105" s="22"/>
      <c r="H105" s="22"/>
      <c r="I105" s="22"/>
      <c r="J105" s="22"/>
      <c r="K105" s="22"/>
      <c r="L105" s="22"/>
      <c r="M105" s="22"/>
      <c r="N105" s="22"/>
      <c r="Q105" s="10"/>
      <c r="R105" s="21"/>
    </row>
    <row r="106" spans="1:41" x14ac:dyDescent="0.25">
      <c r="A106" s="15" t="s">
        <v>88</v>
      </c>
      <c r="B106" s="22">
        <v>0</v>
      </c>
      <c r="C106" s="22">
        <v>5</v>
      </c>
      <c r="D106" s="22">
        <v>10</v>
      </c>
      <c r="E106" s="22">
        <v>15</v>
      </c>
      <c r="F106" s="22">
        <v>20</v>
      </c>
      <c r="G106" s="22">
        <v>25</v>
      </c>
      <c r="H106" s="22">
        <v>30</v>
      </c>
      <c r="I106" s="22">
        <v>40</v>
      </c>
      <c r="J106" s="22">
        <v>50</v>
      </c>
      <c r="K106" s="22"/>
      <c r="L106" s="22"/>
      <c r="M106" s="22"/>
      <c r="N106" s="22"/>
      <c r="P106" s="10"/>
      <c r="Q106" s="10"/>
      <c r="R106" s="21"/>
    </row>
    <row r="107" spans="1:41" x14ac:dyDescent="0.25">
      <c r="A107" s="8" t="s">
        <v>44</v>
      </c>
      <c r="B107" s="13">
        <f>B89+B53*0.025+80000</f>
        <v>689844.33284921129</v>
      </c>
      <c r="C107" s="13">
        <f>C89+(0.01*(C53-$B53)+(0.025*$B53))+35000+10000*C$106+80000</f>
        <v>1055304.0678300196</v>
      </c>
      <c r="D107" s="13">
        <f t="shared" ref="C107:J110" si="24">D89+(0.01*(D53-$B53)+(0.025*$B53))+35000+10000*D$106+80000</f>
        <v>1385763.8028108282</v>
      </c>
      <c r="E107" s="13">
        <f t="shared" si="24"/>
        <v>1716223.5377916368</v>
      </c>
      <c r="F107" s="13">
        <f t="shared" si="24"/>
        <v>2233129.7444779966</v>
      </c>
      <c r="G107" s="13">
        <f t="shared" si="24"/>
        <v>2626001.6458348162</v>
      </c>
      <c r="H107" s="13">
        <f t="shared" si="24"/>
        <v>3003072.9987420128</v>
      </c>
      <c r="I107" s="13">
        <f t="shared" si="24"/>
        <v>3757215.7045564055</v>
      </c>
      <c r="J107" s="13">
        <f>J89+(0.01*(J53-$B53)+(0.025*$B53))+35000+10000*J$106+80000</f>
        <v>4527158.9588204212</v>
      </c>
      <c r="K107" s="13"/>
      <c r="L107" s="13"/>
      <c r="M107" s="13"/>
      <c r="N107" s="13"/>
      <c r="R107" s="21"/>
      <c r="AE107" s="15"/>
    </row>
    <row r="108" spans="1:41" x14ac:dyDescent="0.25">
      <c r="A108" s="8" t="s">
        <v>45</v>
      </c>
      <c r="B108" s="13">
        <f>B90+B54*0.025+80000</f>
        <v>621507.16647320031</v>
      </c>
      <c r="C108" s="13">
        <f t="shared" si="24"/>
        <v>986966.90145400888</v>
      </c>
      <c r="D108" s="13">
        <f t="shared" si="24"/>
        <v>1317426.6364348172</v>
      </c>
      <c r="E108" s="13">
        <f t="shared" si="24"/>
        <v>1647886.3714156258</v>
      </c>
      <c r="F108" s="13">
        <f t="shared" si="24"/>
        <v>1978346.1063964344</v>
      </c>
      <c r="G108" s="13">
        <f>G90+(0.01*(G54-$B54)+(0.025*$B54))+35000+10000*G$106+80000</f>
        <v>2324606.3898268659</v>
      </c>
      <c r="H108" s="13">
        <f t="shared" si="24"/>
        <v>2934735.8323660018</v>
      </c>
      <c r="I108" s="13">
        <f t="shared" si="24"/>
        <v>3688878.5381803946</v>
      </c>
      <c r="J108" s="13">
        <f>J90+(0.01*(J54-$B54)+(0.025*$B54))+35000+10000*J$106+80000</f>
        <v>4458821.7924444098</v>
      </c>
      <c r="K108" s="13"/>
      <c r="L108" s="13"/>
      <c r="M108" s="13"/>
      <c r="N108" s="13"/>
      <c r="R108" s="21"/>
    </row>
    <row r="109" spans="1:41" x14ac:dyDescent="0.25">
      <c r="A109" s="8" t="s">
        <v>46</v>
      </c>
      <c r="B109" s="13">
        <f>B91+B55*0.025+80000</f>
        <v>586906.06957395433</v>
      </c>
      <c r="C109" s="13">
        <f t="shared" si="24"/>
        <v>860525.11669132905</v>
      </c>
      <c r="D109" s="13">
        <f t="shared" si="24"/>
        <v>1282825.5395355714</v>
      </c>
      <c r="E109" s="13">
        <f t="shared" si="24"/>
        <v>1613285.2745163799</v>
      </c>
      <c r="F109" s="13">
        <f t="shared" si="24"/>
        <v>1943745.0094971883</v>
      </c>
      <c r="G109" s="13">
        <f t="shared" si="24"/>
        <v>2290005.29292762</v>
      </c>
      <c r="H109" s="13">
        <f t="shared" si="24"/>
        <v>2620465.0279084286</v>
      </c>
      <c r="I109" s="13">
        <f t="shared" si="24"/>
        <v>3654277.4412811487</v>
      </c>
      <c r="J109" s="13">
        <f t="shared" si="24"/>
        <v>4424220.6955451649</v>
      </c>
      <c r="K109" s="13"/>
      <c r="L109" s="13"/>
      <c r="M109" s="13"/>
      <c r="N109" s="13"/>
      <c r="R109" s="21"/>
    </row>
    <row r="110" spans="1:41" x14ac:dyDescent="0.25">
      <c r="A110" s="8" t="s">
        <v>47</v>
      </c>
      <c r="B110" s="13">
        <f>B92+B56*0.025+80000</f>
        <v>535004.4242250853</v>
      </c>
      <c r="C110" s="13">
        <f t="shared" si="24"/>
        <v>808623.47134246002</v>
      </c>
      <c r="D110" s="13">
        <f t="shared" si="24"/>
        <v>1047242.5184598347</v>
      </c>
      <c r="E110" s="13">
        <f t="shared" si="24"/>
        <v>1561383.6291675107</v>
      </c>
      <c r="F110" s="13">
        <f t="shared" si="24"/>
        <v>1891843.3641483192</v>
      </c>
      <c r="G110" s="13">
        <f t="shared" si="24"/>
        <v>2238103.6475787507</v>
      </c>
      <c r="H110" s="13">
        <f t="shared" si="24"/>
        <v>2568563.3825595593</v>
      </c>
      <c r="I110" s="13">
        <f t="shared" si="24"/>
        <v>3602375.7959322794</v>
      </c>
      <c r="J110" s="13">
        <f t="shared" si="24"/>
        <v>3906202.8709324165</v>
      </c>
      <c r="K110" s="13"/>
      <c r="L110" s="13"/>
      <c r="M110" s="13"/>
      <c r="N110" s="13"/>
      <c r="R110" s="21"/>
    </row>
    <row r="111" spans="1:41" x14ac:dyDescent="0.25">
      <c r="A111" s="8" t="s">
        <v>8</v>
      </c>
      <c r="B111" s="13">
        <f>B93+B57*0.025+40000</f>
        <v>495004.4242250853</v>
      </c>
      <c r="C111" s="13">
        <f t="shared" ref="C111:J115" si="25">C93+(0.01*(C57-$B57)+(0.025*$B57))+35000+10000*C$106+40000</f>
        <v>768623.47134246002</v>
      </c>
      <c r="D111" s="13">
        <f t="shared" si="25"/>
        <v>1007242.5184598347</v>
      </c>
      <c r="E111" s="13">
        <f t="shared" si="25"/>
        <v>1245861.5655772095</v>
      </c>
      <c r="F111" s="13">
        <f t="shared" si="25"/>
        <v>1484480.6126945843</v>
      </c>
      <c r="G111" s="13">
        <f t="shared" si="25"/>
        <v>2198103.6475787507</v>
      </c>
      <c r="H111" s="13">
        <f t="shared" si="25"/>
        <v>2528563.3825595593</v>
      </c>
      <c r="I111" s="13">
        <f t="shared" si="25"/>
        <v>3562375.7959322794</v>
      </c>
      <c r="J111" s="13">
        <f>J93+(0.01*(J57-$B57)+(0.025*$B57))+35000+10000*J$106+40000</f>
        <v>3866202.8709324165</v>
      </c>
      <c r="K111" s="13"/>
      <c r="L111" s="13"/>
      <c r="M111" s="13"/>
      <c r="N111" s="13"/>
      <c r="R111" s="21"/>
      <c r="AE111" s="10"/>
      <c r="AF111" s="10"/>
      <c r="AG111" s="10"/>
      <c r="AH111" s="10"/>
      <c r="AI111" s="10"/>
      <c r="AJ111" s="10"/>
      <c r="AK111" s="10"/>
      <c r="AL111" s="10"/>
      <c r="AM111" s="10"/>
      <c r="AN111" s="10"/>
      <c r="AO111" s="21"/>
    </row>
    <row r="112" spans="1:41" x14ac:dyDescent="0.25">
      <c r="A112" s="8" t="s">
        <v>9</v>
      </c>
      <c r="B112" s="13">
        <f>B94+B58*0.025+40000</f>
        <v>433587.47722892358</v>
      </c>
      <c r="C112" s="13">
        <f t="shared" si="25"/>
        <v>707206.52434629831</v>
      </c>
      <c r="D112" s="13">
        <f t="shared" si="25"/>
        <v>945825.57146367303</v>
      </c>
      <c r="E112" s="13">
        <f t="shared" si="25"/>
        <v>1184444.6185810477</v>
      </c>
      <c r="F112" s="13">
        <f t="shared" si="25"/>
        <v>1423063.6656984226</v>
      </c>
      <c r="G112" s="13">
        <f t="shared" si="25"/>
        <v>1677483.2612654204</v>
      </c>
      <c r="H112" s="13">
        <f t="shared" si="25"/>
        <v>1916102.308382795</v>
      </c>
      <c r="I112" s="13">
        <f t="shared" si="25"/>
        <v>3500958.8489361177</v>
      </c>
      <c r="J112" s="13">
        <f t="shared" si="25"/>
        <v>3804785.9239362548</v>
      </c>
      <c r="K112" s="13"/>
      <c r="L112" s="13"/>
      <c r="M112" s="13"/>
      <c r="N112" s="13"/>
      <c r="R112" s="21"/>
      <c r="AE112" s="15"/>
      <c r="AF112" s="10"/>
      <c r="AG112" s="10"/>
      <c r="AH112" s="10"/>
      <c r="AI112" s="10"/>
      <c r="AJ112" s="10"/>
      <c r="AK112" s="10"/>
      <c r="AL112" s="10"/>
      <c r="AM112" s="10"/>
      <c r="AN112" s="10"/>
      <c r="AO112" s="21"/>
    </row>
    <row r="113" spans="1:41" x14ac:dyDescent="0.25">
      <c r="A113" s="8" t="s">
        <v>10</v>
      </c>
      <c r="B113" s="13">
        <f>B95+B59*0.025+40000</f>
        <v>375630.6399226865</v>
      </c>
      <c r="C113" s="13">
        <f t="shared" si="25"/>
        <v>620611.19297511945</v>
      </c>
      <c r="D113" s="13">
        <f t="shared" si="25"/>
        <v>887868.73415743595</v>
      </c>
      <c r="E113" s="13">
        <f t="shared" si="25"/>
        <v>1126487.7812748107</v>
      </c>
      <c r="F113" s="13">
        <f t="shared" si="25"/>
        <v>1365106.8283921853</v>
      </c>
      <c r="G113" s="13">
        <f t="shared" si="25"/>
        <v>1619526.423959183</v>
      </c>
      <c r="H113" s="13">
        <f t="shared" si="25"/>
        <v>1858145.4710765579</v>
      </c>
      <c r="I113" s="13">
        <f t="shared" si="25"/>
        <v>3443002.0116298804</v>
      </c>
      <c r="J113" s="13">
        <f t="shared" si="25"/>
        <v>2828422.2079956802</v>
      </c>
      <c r="K113" s="13"/>
      <c r="L113" s="13"/>
      <c r="M113" s="13"/>
      <c r="N113" s="13"/>
      <c r="O113" s="13"/>
      <c r="R113" s="21"/>
      <c r="AE113" s="10"/>
      <c r="AF113" s="13"/>
      <c r="AG113" s="13"/>
      <c r="AH113" s="13"/>
      <c r="AI113" s="13"/>
      <c r="AJ113" s="13"/>
      <c r="AK113" s="13"/>
      <c r="AL113" s="13"/>
      <c r="AM113" s="13"/>
      <c r="AN113" s="13"/>
      <c r="AO113" s="21"/>
    </row>
    <row r="114" spans="1:41" x14ac:dyDescent="0.25">
      <c r="A114" s="8" t="s">
        <v>11</v>
      </c>
      <c r="B114" s="13">
        <f>B96+B60*0.025+40000</f>
        <v>369575.4479653184</v>
      </c>
      <c r="C114" s="13">
        <f t="shared" si="25"/>
        <v>614556.00101775141</v>
      </c>
      <c r="D114" s="13">
        <f t="shared" si="25"/>
        <v>824536.55407018447</v>
      </c>
      <c r="E114" s="13">
        <f t="shared" si="25"/>
        <v>1034517.1071226174</v>
      </c>
      <c r="F114" s="13">
        <f t="shared" si="25"/>
        <v>1359051.6364348172</v>
      </c>
      <c r="G114" s="13">
        <f t="shared" si="25"/>
        <v>1613471.232001815</v>
      </c>
      <c r="H114" s="13">
        <f t="shared" si="25"/>
        <v>1852090.2791191898</v>
      </c>
      <c r="I114" s="13">
        <f t="shared" si="25"/>
        <v>3436946.8196725124</v>
      </c>
      <c r="J114" s="13">
        <f t="shared" si="25"/>
        <v>2822367.0160383116</v>
      </c>
      <c r="K114" s="13"/>
      <c r="L114" s="13"/>
      <c r="M114" s="13"/>
      <c r="N114" s="13"/>
      <c r="O114" s="13"/>
      <c r="R114" s="21"/>
      <c r="AE114" s="10"/>
      <c r="AF114" s="13"/>
      <c r="AG114" s="13"/>
      <c r="AH114" s="13"/>
      <c r="AI114" s="13"/>
      <c r="AJ114" s="13"/>
      <c r="AK114" s="13"/>
      <c r="AL114" s="13"/>
      <c r="AM114" s="13"/>
      <c r="AN114" s="13"/>
      <c r="AO114" s="21"/>
    </row>
    <row r="115" spans="1:41" x14ac:dyDescent="0.25">
      <c r="A115" s="8" t="s">
        <v>12</v>
      </c>
      <c r="B115" s="13">
        <f>B97+B61*0.025+40000</f>
        <v>300373.25416682637</v>
      </c>
      <c r="C115" s="13">
        <f t="shared" si="25"/>
        <v>533503.39588204212</v>
      </c>
      <c r="D115" s="13">
        <f t="shared" si="25"/>
        <v>731633.53759725788</v>
      </c>
      <c r="E115" s="13">
        <f t="shared" si="25"/>
        <v>965314.91332412546</v>
      </c>
      <c r="F115" s="13">
        <f t="shared" si="25"/>
        <v>1175295.4663765584</v>
      </c>
      <c r="G115" s="13">
        <f t="shared" si="25"/>
        <v>1401076.5678786144</v>
      </c>
      <c r="H115" s="13">
        <f t="shared" si="25"/>
        <v>1611057.1209310475</v>
      </c>
      <c r="I115" s="13">
        <f t="shared" si="25"/>
        <v>2031018.2270359136</v>
      </c>
      <c r="J115" s="13">
        <f t="shared" si="25"/>
        <v>2466779.8815904027</v>
      </c>
      <c r="K115" s="13"/>
      <c r="L115" s="13"/>
      <c r="M115" s="13"/>
      <c r="N115" s="13"/>
      <c r="O115" s="13"/>
      <c r="R115" s="21"/>
      <c r="AE115" s="10"/>
      <c r="AF115" s="13"/>
      <c r="AG115" s="13"/>
      <c r="AH115" s="13"/>
      <c r="AI115" s="13"/>
      <c r="AJ115" s="13"/>
      <c r="AK115" s="13"/>
      <c r="AL115" s="13"/>
      <c r="AM115" s="13"/>
      <c r="AN115" s="13"/>
      <c r="AO115" s="21"/>
    </row>
    <row r="116" spans="1:41" x14ac:dyDescent="0.25">
      <c r="A116" s="8" t="s">
        <v>13</v>
      </c>
      <c r="B116" s="13">
        <f>B98+B62*0.025</f>
        <v>189441.005523372</v>
      </c>
      <c r="C116" s="13">
        <f t="shared" ref="C116:J120" si="26">C98+(0.01*(C62-$B62)+(0.025*$B62))+35000+10000*C$106</f>
        <v>392945.11889554461</v>
      </c>
      <c r="D116" s="13">
        <f t="shared" si="26"/>
        <v>620701.28895380348</v>
      </c>
      <c r="E116" s="13">
        <f t="shared" si="26"/>
        <v>818831.43066901923</v>
      </c>
      <c r="F116" s="13">
        <f t="shared" si="26"/>
        <v>1016961.572384235</v>
      </c>
      <c r="G116" s="13">
        <f t="shared" si="26"/>
        <v>1230892.2625490739</v>
      </c>
      <c r="H116" s="13">
        <f t="shared" si="26"/>
        <v>1429022.4042642894</v>
      </c>
      <c r="I116" s="13">
        <f t="shared" si="26"/>
        <v>1825282.6876947212</v>
      </c>
      <c r="J116" s="13">
        <f t="shared" si="26"/>
        <v>2355847.6329469485</v>
      </c>
      <c r="K116" s="13"/>
      <c r="L116" s="13"/>
      <c r="M116" s="13"/>
      <c r="N116" s="13"/>
      <c r="O116" s="13"/>
      <c r="R116" s="21"/>
      <c r="AE116" s="10"/>
      <c r="AF116" s="13"/>
      <c r="AG116" s="13"/>
      <c r="AH116" s="13"/>
      <c r="AI116" s="13"/>
      <c r="AJ116" s="13"/>
      <c r="AK116" s="13"/>
      <c r="AL116" s="13"/>
      <c r="AM116" s="13"/>
      <c r="AN116" s="13"/>
      <c r="AO116" s="21"/>
    </row>
    <row r="117" spans="1:41" x14ac:dyDescent="0.25">
      <c r="A117" s="8" t="s">
        <v>14</v>
      </c>
      <c r="B117" s="13">
        <f>B99+B63*0.025</f>
        <v>189441.005523372</v>
      </c>
      <c r="C117" s="13">
        <f t="shared" si="26"/>
        <v>392945.11889554461</v>
      </c>
      <c r="D117" s="13">
        <f t="shared" si="26"/>
        <v>620701.28895380348</v>
      </c>
      <c r="E117" s="13">
        <f t="shared" si="26"/>
        <v>818831.43066901923</v>
      </c>
      <c r="F117" s="13">
        <f t="shared" si="26"/>
        <v>1016961.572384235</v>
      </c>
      <c r="G117" s="13">
        <f t="shared" si="26"/>
        <v>1230892.2625490739</v>
      </c>
      <c r="H117" s="13">
        <f t="shared" si="26"/>
        <v>1429022.4042642894</v>
      </c>
      <c r="I117" s="13">
        <f t="shared" si="26"/>
        <v>1825282.6876947212</v>
      </c>
      <c r="J117" s="13">
        <f t="shared" si="26"/>
        <v>2237343.5195747754</v>
      </c>
      <c r="K117" s="13"/>
      <c r="L117" s="13"/>
      <c r="M117" s="13"/>
      <c r="N117" s="13"/>
      <c r="O117" s="13"/>
      <c r="R117" s="21"/>
      <c r="AE117" s="10"/>
      <c r="AF117" s="13"/>
      <c r="AG117" s="13"/>
      <c r="AH117" s="13"/>
      <c r="AI117" s="13"/>
      <c r="AJ117" s="13"/>
      <c r="AK117" s="13"/>
      <c r="AL117" s="13"/>
      <c r="AM117" s="13"/>
      <c r="AN117" s="13"/>
      <c r="AO117" s="21"/>
    </row>
    <row r="118" spans="1:41" x14ac:dyDescent="0.25">
      <c r="A118" s="8" t="s">
        <v>15</v>
      </c>
      <c r="B118" s="13">
        <f>B100+B64*0.025</f>
        <v>158300.01831405057</v>
      </c>
      <c r="C118" s="13">
        <f t="shared" si="26"/>
        <v>361804.13168622321</v>
      </c>
      <c r="D118" s="13">
        <f t="shared" si="26"/>
        <v>530308.24505839578</v>
      </c>
      <c r="E118" s="13">
        <f t="shared" si="26"/>
        <v>698812.35843056836</v>
      </c>
      <c r="F118" s="13">
        <f t="shared" si="26"/>
        <v>985820.58517491363</v>
      </c>
      <c r="G118" s="13">
        <f t="shared" si="26"/>
        <v>1199751.2753397524</v>
      </c>
      <c r="H118" s="13">
        <f t="shared" si="26"/>
        <v>1397881.4170549682</v>
      </c>
      <c r="I118" s="13">
        <f t="shared" si="26"/>
        <v>1794141.7004853997</v>
      </c>
      <c r="J118" s="13">
        <f t="shared" si="26"/>
        <v>2206202.5323654544</v>
      </c>
      <c r="K118" s="13"/>
      <c r="L118" s="13"/>
      <c r="M118" s="13"/>
      <c r="N118" s="13"/>
      <c r="O118" s="13"/>
      <c r="R118" s="21"/>
      <c r="AE118" s="10"/>
      <c r="AF118" s="13"/>
      <c r="AG118" s="13"/>
      <c r="AH118" s="13"/>
      <c r="AI118" s="13"/>
      <c r="AJ118" s="13"/>
      <c r="AK118" s="13"/>
      <c r="AL118" s="13"/>
      <c r="AM118" s="13"/>
      <c r="AN118" s="13"/>
      <c r="AO118" s="21"/>
    </row>
    <row r="119" spans="1:41" x14ac:dyDescent="0.25">
      <c r="A119" s="8" t="s">
        <v>16</v>
      </c>
      <c r="B119" s="13">
        <f>B101+B65*0.025</f>
        <v>158300.01831405057</v>
      </c>
      <c r="C119" s="13">
        <f t="shared" si="26"/>
        <v>361804.13168622321</v>
      </c>
      <c r="D119" s="13">
        <f t="shared" si="26"/>
        <v>530308.24505839578</v>
      </c>
      <c r="E119" s="13">
        <f t="shared" si="26"/>
        <v>698812.35843056836</v>
      </c>
      <c r="F119" s="13">
        <f t="shared" si="26"/>
        <v>867316.47180274106</v>
      </c>
      <c r="G119" s="13">
        <f t="shared" si="26"/>
        <v>1051621.1336245365</v>
      </c>
      <c r="H119" s="13">
        <f t="shared" si="26"/>
        <v>1220125.2469967091</v>
      </c>
      <c r="I119" s="13">
        <f t="shared" si="26"/>
        <v>1794141.7004853997</v>
      </c>
      <c r="J119" s="13">
        <f t="shared" si="26"/>
        <v>2206202.5323654544</v>
      </c>
      <c r="K119" s="13"/>
      <c r="L119" s="13"/>
      <c r="M119" s="13"/>
      <c r="N119" s="13"/>
      <c r="O119" s="13"/>
      <c r="R119" s="21"/>
      <c r="AE119" s="10"/>
      <c r="AF119" s="13"/>
      <c r="AG119" s="13"/>
      <c r="AH119" s="13"/>
      <c r="AI119" s="13"/>
      <c r="AJ119" s="13"/>
      <c r="AK119" s="13"/>
      <c r="AL119" s="13"/>
      <c r="AM119" s="13"/>
      <c r="AN119" s="13"/>
      <c r="AO119" s="21"/>
    </row>
    <row r="120" spans="1:41" x14ac:dyDescent="0.25">
      <c r="A120" s="8" t="s">
        <v>17</v>
      </c>
      <c r="B120" s="13">
        <f>B102+B66*0.025</f>
        <v>133214.22306209721</v>
      </c>
      <c r="C120" s="13">
        <f t="shared" si="26"/>
        <v>316967.65087224101</v>
      </c>
      <c r="D120" s="13">
        <f t="shared" si="26"/>
        <v>505222.44980644243</v>
      </c>
      <c r="E120" s="13">
        <f t="shared" si="26"/>
        <v>673726.56317861495</v>
      </c>
      <c r="F120" s="13">
        <f t="shared" si="26"/>
        <v>842230.67655078764</v>
      </c>
      <c r="G120" s="13">
        <f t="shared" si="26"/>
        <v>1026535.3383725833</v>
      </c>
      <c r="H120" s="13">
        <f t="shared" si="26"/>
        <v>1195039.4517447557</v>
      </c>
      <c r="I120" s="13">
        <f t="shared" si="26"/>
        <v>1532047.6784891011</v>
      </c>
      <c r="J120" s="13">
        <f t="shared" si="26"/>
        <v>1884856.4536830692</v>
      </c>
      <c r="K120" s="13"/>
      <c r="L120" s="13"/>
      <c r="M120" s="13"/>
      <c r="N120" s="13"/>
      <c r="O120" s="13"/>
      <c r="R120" s="21"/>
      <c r="AE120" s="10"/>
      <c r="AF120" s="13"/>
      <c r="AG120" s="13"/>
      <c r="AH120" s="13"/>
      <c r="AI120" s="13"/>
      <c r="AJ120" s="13"/>
      <c r="AK120" s="13"/>
      <c r="AL120" s="13"/>
      <c r="AM120" s="13"/>
      <c r="AN120" s="13"/>
      <c r="AO120" s="21"/>
    </row>
    <row r="121" spans="1:41" ht="16.5" thickBot="1" x14ac:dyDescent="0.3">
      <c r="A121" s="8"/>
      <c r="B121" s="13"/>
      <c r="C121" s="13"/>
      <c r="D121" s="13"/>
      <c r="E121" s="13"/>
      <c r="F121" s="13"/>
      <c r="G121" s="13"/>
      <c r="H121" s="13"/>
      <c r="I121" s="13"/>
      <c r="J121" s="13"/>
      <c r="K121" s="13"/>
      <c r="L121" s="13"/>
      <c r="M121" s="13"/>
      <c r="N121" s="13"/>
      <c r="O121" s="13"/>
      <c r="R121" s="21"/>
      <c r="AE121" s="10"/>
      <c r="AF121" s="13"/>
      <c r="AG121" s="13"/>
      <c r="AH121" s="13"/>
      <c r="AI121" s="13"/>
      <c r="AJ121" s="13"/>
      <c r="AK121" s="13"/>
      <c r="AL121" s="13"/>
      <c r="AM121" s="13"/>
      <c r="AN121" s="13"/>
      <c r="AO121" s="21"/>
    </row>
    <row r="122" spans="1:41" x14ac:dyDescent="0.25">
      <c r="A122" s="8"/>
      <c r="B122" s="13"/>
      <c r="C122" s="146"/>
      <c r="D122" s="147"/>
      <c r="E122" s="147"/>
      <c r="F122" s="147"/>
      <c r="G122" s="147"/>
      <c r="H122" s="147"/>
      <c r="I122" s="148"/>
      <c r="J122" s="13"/>
      <c r="K122" s="13"/>
      <c r="L122" s="13"/>
      <c r="M122" s="13"/>
      <c r="N122" s="13"/>
      <c r="O122" s="13"/>
      <c r="R122" s="21"/>
      <c r="AE122" s="10"/>
      <c r="AF122" s="13"/>
      <c r="AG122" s="13"/>
      <c r="AH122" s="13"/>
      <c r="AI122" s="13"/>
      <c r="AJ122" s="13"/>
      <c r="AK122" s="13"/>
      <c r="AL122" s="13"/>
      <c r="AM122" s="13"/>
      <c r="AN122" s="13"/>
      <c r="AO122" s="21"/>
    </row>
    <row r="123" spans="1:41" ht="15" x14ac:dyDescent="0.2">
      <c r="A123" s="32"/>
      <c r="C123" s="149" t="s">
        <v>40</v>
      </c>
      <c r="F123" s="14" t="s">
        <v>90</v>
      </c>
      <c r="I123" s="151"/>
      <c r="J123" s="13"/>
      <c r="K123" s="13"/>
      <c r="L123" s="13"/>
      <c r="M123" s="13"/>
      <c r="N123" s="13"/>
      <c r="O123" s="13"/>
      <c r="R123" s="21"/>
      <c r="AE123" s="10"/>
      <c r="AF123" s="13"/>
      <c r="AG123" s="13"/>
      <c r="AH123" s="13"/>
      <c r="AI123" s="13"/>
      <c r="AJ123" s="13"/>
      <c r="AK123" s="13"/>
      <c r="AL123" s="13"/>
      <c r="AM123" s="13"/>
      <c r="AN123" s="13"/>
      <c r="AO123" s="21"/>
    </row>
    <row r="124" spans="1:41" ht="15" x14ac:dyDescent="0.2">
      <c r="A124" s="18"/>
      <c r="C124" s="58"/>
      <c r="F124" s="14" t="s">
        <v>91</v>
      </c>
      <c r="I124" s="151"/>
      <c r="J124" s="13"/>
      <c r="K124" s="13"/>
      <c r="L124" s="13"/>
      <c r="M124" s="13"/>
      <c r="N124" s="13"/>
      <c r="O124" s="13"/>
      <c r="R124" s="21"/>
      <c r="AE124" s="10"/>
      <c r="AF124" s="13"/>
      <c r="AG124" s="13"/>
      <c r="AH124" s="13"/>
      <c r="AI124" s="13"/>
      <c r="AJ124" s="13"/>
      <c r="AK124" s="13"/>
      <c r="AL124" s="13"/>
      <c r="AM124" s="13"/>
      <c r="AN124" s="13"/>
      <c r="AO124" s="21"/>
    </row>
    <row r="125" spans="1:41" ht="15" x14ac:dyDescent="0.2">
      <c r="A125" s="18"/>
      <c r="C125" s="58"/>
      <c r="F125" s="14" t="s">
        <v>92</v>
      </c>
      <c r="I125" s="151"/>
      <c r="J125" s="13"/>
      <c r="K125" s="13"/>
      <c r="L125" s="13"/>
      <c r="M125" s="13"/>
      <c r="N125" s="13"/>
      <c r="O125" s="13"/>
      <c r="R125" s="21"/>
      <c r="AE125" s="10"/>
      <c r="AF125" s="13"/>
      <c r="AG125" s="13"/>
      <c r="AH125" s="13"/>
      <c r="AI125" s="13"/>
      <c r="AJ125" s="13"/>
      <c r="AK125" s="13"/>
      <c r="AL125" s="13"/>
      <c r="AM125" s="13"/>
      <c r="AN125" s="13"/>
      <c r="AO125" s="21"/>
    </row>
    <row r="126" spans="1:41" ht="15" x14ac:dyDescent="0.2">
      <c r="A126" s="18"/>
      <c r="C126" s="58"/>
      <c r="F126" s="14" t="s">
        <v>93</v>
      </c>
      <c r="I126" s="59"/>
      <c r="J126" s="13"/>
      <c r="K126" s="13"/>
      <c r="L126" s="13"/>
      <c r="M126" s="13"/>
      <c r="N126" s="13"/>
      <c r="O126" s="13"/>
      <c r="R126" s="21"/>
      <c r="AE126" s="10"/>
      <c r="AF126" s="13"/>
      <c r="AG126" s="13"/>
      <c r="AH126" s="13"/>
      <c r="AI126" s="13"/>
      <c r="AJ126" s="13"/>
      <c r="AK126" s="13"/>
      <c r="AL126" s="13"/>
      <c r="AM126" s="13"/>
      <c r="AN126" s="13"/>
      <c r="AO126" s="21"/>
    </row>
    <row r="127" spans="1:41" x14ac:dyDescent="0.25">
      <c r="A127" s="8"/>
      <c r="C127" s="58"/>
      <c r="E127" s="32"/>
      <c r="F127" s="32" t="s">
        <v>94</v>
      </c>
      <c r="I127" s="59"/>
      <c r="N127" s="139"/>
      <c r="R127" s="21"/>
      <c r="AE127" s="10"/>
      <c r="AF127" s="13"/>
      <c r="AG127" s="13"/>
      <c r="AH127" s="13"/>
      <c r="AI127" s="13"/>
      <c r="AJ127" s="13"/>
      <c r="AK127" s="13"/>
      <c r="AL127" s="13"/>
      <c r="AM127" s="13"/>
      <c r="AN127" s="13"/>
      <c r="AO127" s="21"/>
    </row>
    <row r="128" spans="1:41" ht="16.5" thickBot="1" x14ac:dyDescent="0.3">
      <c r="A128" s="8"/>
      <c r="C128" s="60"/>
      <c r="D128" s="61"/>
      <c r="E128" s="61"/>
      <c r="F128" s="153" t="s">
        <v>95</v>
      </c>
      <c r="G128" s="61"/>
      <c r="H128" s="61"/>
      <c r="I128" s="62"/>
      <c r="R128" s="21"/>
      <c r="AE128" s="10"/>
      <c r="AF128" s="13"/>
      <c r="AG128" s="13"/>
      <c r="AH128" s="13"/>
      <c r="AI128" s="13"/>
      <c r="AJ128" s="13"/>
      <c r="AK128" s="13"/>
      <c r="AL128" s="13"/>
      <c r="AM128" s="13"/>
      <c r="AN128" s="13"/>
      <c r="AO128" s="21"/>
    </row>
    <row r="129" spans="1:41" x14ac:dyDescent="0.25">
      <c r="A129" s="8"/>
      <c r="R129" s="21"/>
      <c r="AE129" s="10"/>
      <c r="AF129" s="13"/>
      <c r="AG129" s="13"/>
      <c r="AH129" s="13"/>
      <c r="AI129" s="13"/>
      <c r="AJ129" s="13"/>
      <c r="AK129" s="13"/>
      <c r="AL129" s="13"/>
      <c r="AM129" s="13"/>
      <c r="AN129" s="13"/>
      <c r="AO129" s="21"/>
    </row>
    <row r="130" spans="1:41" x14ac:dyDescent="0.25">
      <c r="A130" s="8"/>
      <c r="R130" s="21"/>
      <c r="AE130" s="10"/>
      <c r="AF130" s="13"/>
      <c r="AG130" s="13"/>
      <c r="AH130" s="13"/>
      <c r="AI130" s="13"/>
      <c r="AJ130" s="13"/>
      <c r="AK130" s="13"/>
      <c r="AL130" s="13"/>
      <c r="AM130" s="13"/>
      <c r="AN130" s="13"/>
      <c r="AO130" s="21"/>
    </row>
    <row r="131" spans="1:41" x14ac:dyDescent="0.25">
      <c r="A131" s="16" t="s">
        <v>73</v>
      </c>
      <c r="R131" s="21"/>
      <c r="AE131" s="10"/>
      <c r="AF131" s="13"/>
      <c r="AG131" s="13"/>
      <c r="AH131" s="13"/>
      <c r="AI131" s="13"/>
      <c r="AJ131" s="13"/>
      <c r="AK131" s="13"/>
      <c r="AL131" s="13"/>
      <c r="AM131" s="13"/>
      <c r="AN131" s="13"/>
      <c r="AO131" s="21"/>
    </row>
    <row r="132" spans="1:41" ht="16.5" thickBot="1" x14ac:dyDescent="0.3">
      <c r="A132" s="8"/>
      <c r="R132" s="21"/>
      <c r="AE132" s="21"/>
      <c r="AF132" s="21"/>
      <c r="AG132" s="21"/>
      <c r="AH132" s="21"/>
      <c r="AI132" s="21"/>
      <c r="AJ132" s="21"/>
      <c r="AK132" s="21"/>
      <c r="AL132" s="21"/>
      <c r="AM132" s="21"/>
      <c r="AN132" s="21"/>
    </row>
    <row r="133" spans="1:41" x14ac:dyDescent="0.25">
      <c r="A133" s="18"/>
      <c r="D133" s="63" t="s">
        <v>28</v>
      </c>
      <c r="E133" s="64" t="s">
        <v>29</v>
      </c>
      <c r="F133" s="142" t="s">
        <v>86</v>
      </c>
      <c r="G133" s="138" t="s">
        <v>85</v>
      </c>
      <c r="H133" s="65"/>
      <c r="I133" s="66"/>
      <c r="J133" s="21"/>
      <c r="K133" s="21"/>
      <c r="L133" s="21"/>
      <c r="M133" s="21"/>
      <c r="N133" s="21"/>
      <c r="O133" s="21"/>
      <c r="P133" s="21"/>
      <c r="Q133" s="21"/>
    </row>
    <row r="134" spans="1:41" x14ac:dyDescent="0.25">
      <c r="A134" s="139"/>
      <c r="D134" s="67">
        <v>15</v>
      </c>
      <c r="E134" s="19">
        <f>D134*10830000</f>
        <v>162450000</v>
      </c>
      <c r="F134" s="78">
        <f>LN(E134)</f>
        <v>18.905880820079382</v>
      </c>
      <c r="G134" s="25">
        <f t="shared" ref="G134:G147" si="27">E134*I$140*365/1000000</f>
        <v>44470.6875</v>
      </c>
      <c r="I134" s="59"/>
    </row>
    <row r="135" spans="1:41" x14ac:dyDescent="0.25">
      <c r="A135" s="140"/>
      <c r="D135" s="67">
        <v>12</v>
      </c>
      <c r="E135" s="19">
        <f t="shared" ref="E135:E146" si="28">D135*10830000</f>
        <v>129960000</v>
      </c>
      <c r="F135" s="78">
        <f t="shared" ref="F135:F147" si="29">LN(E135)</f>
        <v>18.682737268765173</v>
      </c>
      <c r="G135" s="25">
        <f t="shared" si="27"/>
        <v>35576.550000000003</v>
      </c>
      <c r="I135" s="59"/>
      <c r="AE135" s="15"/>
    </row>
    <row r="136" spans="1:41" x14ac:dyDescent="0.25">
      <c r="A136" s="141"/>
      <c r="D136" s="67">
        <v>10</v>
      </c>
      <c r="E136" s="19">
        <f t="shared" si="28"/>
        <v>108300000</v>
      </c>
      <c r="F136" s="78">
        <f t="shared" si="29"/>
        <v>18.500415711971218</v>
      </c>
      <c r="G136" s="25">
        <f t="shared" si="27"/>
        <v>29647.125</v>
      </c>
      <c r="I136" s="59"/>
    </row>
    <row r="137" spans="1:41" x14ac:dyDescent="0.25">
      <c r="A137" s="78"/>
      <c r="D137" s="67">
        <v>7</v>
      </c>
      <c r="E137" s="19">
        <f t="shared" si="28"/>
        <v>75810000</v>
      </c>
      <c r="F137" s="78">
        <f t="shared" si="29"/>
        <v>18.143740768032487</v>
      </c>
      <c r="G137" s="25">
        <f t="shared" si="27"/>
        <v>20752.987499999999</v>
      </c>
      <c r="I137" s="59"/>
    </row>
    <row r="138" spans="1:41" x14ac:dyDescent="0.25">
      <c r="A138" s="18"/>
      <c r="D138" s="67">
        <v>5</v>
      </c>
      <c r="E138" s="19">
        <f t="shared" si="28"/>
        <v>54150000</v>
      </c>
      <c r="F138" s="78">
        <f t="shared" si="29"/>
        <v>17.807268531411275</v>
      </c>
      <c r="G138" s="25">
        <f t="shared" si="27"/>
        <v>14823.5625</v>
      </c>
      <c r="I138" s="59"/>
    </row>
    <row r="139" spans="1:41" x14ac:dyDescent="0.25">
      <c r="A139" s="18"/>
      <c r="D139" s="67">
        <v>4</v>
      </c>
      <c r="E139" s="19">
        <f t="shared" si="28"/>
        <v>43320000</v>
      </c>
      <c r="F139" s="78">
        <f t="shared" si="29"/>
        <v>17.584124980097062</v>
      </c>
      <c r="G139" s="25">
        <f t="shared" si="27"/>
        <v>11858.85</v>
      </c>
      <c r="I139" s="59"/>
      <c r="AE139" s="10"/>
      <c r="AF139" s="10"/>
      <c r="AG139" s="10"/>
      <c r="AH139" s="10"/>
      <c r="AI139" s="10"/>
      <c r="AJ139" s="10"/>
      <c r="AK139" s="10"/>
      <c r="AL139" s="10"/>
      <c r="AM139" s="10"/>
      <c r="AN139" s="10"/>
      <c r="AO139" s="21"/>
    </row>
    <row r="140" spans="1:41" x14ac:dyDescent="0.25">
      <c r="A140" s="18"/>
      <c r="D140" s="67">
        <v>3</v>
      </c>
      <c r="E140" s="19">
        <f t="shared" si="28"/>
        <v>32490000</v>
      </c>
      <c r="F140" s="78">
        <f t="shared" si="29"/>
        <v>17.296442907645282</v>
      </c>
      <c r="G140" s="25">
        <f>E140*I$140*365/1000000</f>
        <v>8894.1375000000007</v>
      </c>
      <c r="H140" s="10" t="s">
        <v>31</v>
      </c>
      <c r="I140" s="68">
        <v>0.75</v>
      </c>
      <c r="AE140" s="15"/>
      <c r="AF140" s="10"/>
      <c r="AG140" s="10"/>
      <c r="AH140" s="10"/>
      <c r="AI140" s="10"/>
      <c r="AJ140" s="10"/>
      <c r="AK140" s="10"/>
      <c r="AL140" s="10"/>
      <c r="AM140" s="10"/>
      <c r="AN140" s="10"/>
      <c r="AO140" s="21"/>
    </row>
    <row r="141" spans="1:41" x14ac:dyDescent="0.25">
      <c r="A141" s="18"/>
      <c r="D141" s="67">
        <v>2</v>
      </c>
      <c r="E141" s="19">
        <f t="shared" si="28"/>
        <v>21660000</v>
      </c>
      <c r="F141" s="78">
        <f t="shared" si="29"/>
        <v>16.890977799537119</v>
      </c>
      <c r="G141" s="25">
        <f t="shared" si="27"/>
        <v>5929.4250000000002</v>
      </c>
      <c r="I141" s="59"/>
      <c r="AE141" s="10"/>
      <c r="AF141" s="13"/>
      <c r="AG141" s="13"/>
      <c r="AH141" s="13"/>
      <c r="AI141" s="13"/>
      <c r="AJ141" s="13"/>
      <c r="AK141" s="13"/>
      <c r="AL141" s="13"/>
      <c r="AM141" s="13"/>
      <c r="AN141" s="13"/>
      <c r="AO141" s="21"/>
    </row>
    <row r="142" spans="1:41" x14ac:dyDescent="0.25">
      <c r="A142" s="18"/>
      <c r="D142" s="67">
        <v>1</v>
      </c>
      <c r="E142" s="19">
        <f t="shared" si="28"/>
        <v>10830000</v>
      </c>
      <c r="F142" s="78">
        <f t="shared" si="29"/>
        <v>16.197830618977175</v>
      </c>
      <c r="G142" s="25">
        <f t="shared" si="27"/>
        <v>2964.7125000000001</v>
      </c>
      <c r="I142" s="59"/>
      <c r="AE142" s="10"/>
      <c r="AF142" s="13"/>
      <c r="AG142" s="13"/>
      <c r="AH142" s="13"/>
      <c r="AI142" s="13"/>
      <c r="AJ142" s="13"/>
      <c r="AK142" s="13"/>
      <c r="AL142" s="13"/>
      <c r="AM142" s="13"/>
      <c r="AN142" s="13"/>
      <c r="AO142" s="21"/>
    </row>
    <row r="143" spans="1:41" x14ac:dyDescent="0.25">
      <c r="A143" s="18"/>
      <c r="D143" s="67">
        <v>0.5</v>
      </c>
      <c r="E143" s="19">
        <f t="shared" si="28"/>
        <v>5415000</v>
      </c>
      <c r="F143" s="78">
        <f t="shared" si="29"/>
        <v>15.504683438417228</v>
      </c>
      <c r="G143" s="25">
        <f t="shared" si="27"/>
        <v>1482.35625</v>
      </c>
      <c r="I143" s="59"/>
      <c r="AE143" s="10"/>
      <c r="AF143" s="13"/>
      <c r="AG143" s="13"/>
      <c r="AH143" s="13"/>
      <c r="AI143" s="13"/>
      <c r="AJ143" s="13"/>
      <c r="AK143" s="13"/>
      <c r="AL143" s="13"/>
      <c r="AM143" s="13"/>
      <c r="AN143" s="13"/>
      <c r="AO143" s="21"/>
    </row>
    <row r="144" spans="1:41" x14ac:dyDescent="0.25">
      <c r="A144" s="18"/>
      <c r="D144" s="67">
        <v>0.4</v>
      </c>
      <c r="E144" s="19">
        <f t="shared" si="28"/>
        <v>4332000</v>
      </c>
      <c r="F144" s="78">
        <f t="shared" si="29"/>
        <v>15.281539887103019</v>
      </c>
      <c r="G144" s="25">
        <f t="shared" si="27"/>
        <v>1185.885</v>
      </c>
      <c r="I144" s="59"/>
      <c r="AE144" s="10"/>
      <c r="AF144" s="13"/>
      <c r="AG144" s="13"/>
      <c r="AH144" s="13"/>
      <c r="AI144" s="13"/>
      <c r="AJ144" s="13"/>
      <c r="AK144" s="13"/>
      <c r="AL144" s="13"/>
      <c r="AM144" s="13"/>
      <c r="AN144" s="13"/>
      <c r="AO144" s="21"/>
    </row>
    <row r="145" spans="1:41" x14ac:dyDescent="0.25">
      <c r="A145" s="18"/>
      <c r="D145" s="67">
        <v>0.3</v>
      </c>
      <c r="E145" s="19">
        <f t="shared" si="28"/>
        <v>3249000</v>
      </c>
      <c r="F145" s="78">
        <f t="shared" si="29"/>
        <v>14.993857814651237</v>
      </c>
      <c r="G145" s="25">
        <f t="shared" si="27"/>
        <v>889.41375000000005</v>
      </c>
      <c r="I145" s="59"/>
      <c r="AE145" s="10"/>
      <c r="AF145" s="13"/>
      <c r="AG145" s="13"/>
      <c r="AH145" s="13"/>
      <c r="AI145" s="13"/>
      <c r="AJ145" s="13"/>
      <c r="AK145" s="13"/>
      <c r="AL145" s="13"/>
      <c r="AM145" s="13"/>
      <c r="AN145" s="13"/>
      <c r="AO145" s="21"/>
    </row>
    <row r="146" spans="1:41" x14ac:dyDescent="0.25">
      <c r="A146" s="18"/>
      <c r="D146" s="67">
        <v>0.2</v>
      </c>
      <c r="E146" s="19">
        <f t="shared" si="28"/>
        <v>2166000</v>
      </c>
      <c r="F146" s="78">
        <f t="shared" si="29"/>
        <v>14.588392706543074</v>
      </c>
      <c r="G146" s="25">
        <f t="shared" si="27"/>
        <v>592.9425</v>
      </c>
      <c r="I146" s="59"/>
      <c r="AE146" s="10"/>
      <c r="AF146" s="13"/>
      <c r="AG146" s="13"/>
      <c r="AH146" s="13"/>
      <c r="AI146" s="13"/>
      <c r="AJ146" s="13"/>
      <c r="AK146" s="13"/>
      <c r="AL146" s="13"/>
      <c r="AM146" s="13"/>
      <c r="AN146" s="13"/>
      <c r="AO146" s="21"/>
    </row>
    <row r="147" spans="1:41" ht="16.5" thickBot="1" x14ac:dyDescent="0.3">
      <c r="A147" s="18"/>
      <c r="D147" s="69">
        <v>0.1</v>
      </c>
      <c r="E147" s="70">
        <f>D147*10830000</f>
        <v>1083000</v>
      </c>
      <c r="F147" s="80">
        <f t="shared" si="29"/>
        <v>13.895245525983128</v>
      </c>
      <c r="G147" s="71">
        <f t="shared" si="27"/>
        <v>296.47125</v>
      </c>
      <c r="H147" s="61"/>
      <c r="I147" s="62"/>
      <c r="AE147" s="10"/>
      <c r="AF147" s="13"/>
      <c r="AG147" s="13"/>
      <c r="AH147" s="13"/>
      <c r="AI147" s="13"/>
      <c r="AJ147" s="13"/>
      <c r="AK147" s="13"/>
      <c r="AL147" s="13"/>
      <c r="AM147" s="13"/>
      <c r="AN147" s="13"/>
      <c r="AO147" s="21"/>
    </row>
    <row r="148" spans="1:41" x14ac:dyDescent="0.25">
      <c r="A148" s="8"/>
      <c r="B148" s="19"/>
      <c r="C148" s="25"/>
      <c r="D148" s="25"/>
      <c r="AE148" s="10"/>
      <c r="AF148" s="13"/>
      <c r="AG148" s="13"/>
      <c r="AH148" s="13"/>
      <c r="AI148" s="13"/>
      <c r="AJ148" s="13"/>
      <c r="AK148" s="13"/>
      <c r="AL148" s="13"/>
      <c r="AM148" s="13"/>
      <c r="AN148" s="13"/>
      <c r="AO148" s="21"/>
    </row>
    <row r="149" spans="1:41" x14ac:dyDescent="0.25">
      <c r="A149" s="8"/>
      <c r="B149" s="19"/>
      <c r="C149" s="25"/>
      <c r="D149" s="25"/>
      <c r="AE149" s="10"/>
      <c r="AF149" s="13"/>
      <c r="AG149" s="13"/>
      <c r="AH149" s="13"/>
      <c r="AI149" s="13"/>
      <c r="AJ149" s="13"/>
      <c r="AK149" s="13"/>
      <c r="AL149" s="13"/>
      <c r="AM149" s="13"/>
      <c r="AN149" s="13"/>
      <c r="AO149" s="21"/>
    </row>
    <row r="150" spans="1:41" x14ac:dyDescent="0.25">
      <c r="A150" s="16" t="s">
        <v>75</v>
      </c>
      <c r="B150" s="22"/>
      <c r="C150" s="22"/>
      <c r="D150" s="15" t="s">
        <v>80</v>
      </c>
      <c r="E150" s="22"/>
      <c r="F150" s="22"/>
      <c r="G150" s="22"/>
      <c r="H150" s="22"/>
      <c r="I150" s="22"/>
      <c r="J150" s="22"/>
      <c r="K150" s="22"/>
      <c r="L150" s="22"/>
      <c r="M150" s="22"/>
      <c r="N150" s="22"/>
      <c r="O150" s="22"/>
      <c r="P150" s="8"/>
      <c r="Q150" s="22"/>
      <c r="R150" s="10"/>
      <c r="AE150" s="10"/>
      <c r="AF150" s="13"/>
      <c r="AG150" s="13"/>
      <c r="AH150" s="13"/>
      <c r="AI150" s="13"/>
      <c r="AJ150" s="13"/>
      <c r="AK150" s="13"/>
      <c r="AL150" s="13"/>
      <c r="AM150" s="13"/>
      <c r="AN150" s="13"/>
      <c r="AO150" s="21"/>
    </row>
    <row r="151" spans="1:41" x14ac:dyDescent="0.25">
      <c r="A151" s="112" t="s">
        <v>88</v>
      </c>
      <c r="B151" s="8" t="s">
        <v>33</v>
      </c>
      <c r="C151" s="8" t="s">
        <v>0</v>
      </c>
      <c r="D151" s="8" t="s">
        <v>1</v>
      </c>
      <c r="E151" s="8" t="s">
        <v>2</v>
      </c>
      <c r="F151" s="8" t="s">
        <v>3</v>
      </c>
      <c r="G151" s="8" t="s">
        <v>4</v>
      </c>
      <c r="H151" s="8" t="s">
        <v>5</v>
      </c>
      <c r="I151" s="8" t="s">
        <v>6</v>
      </c>
      <c r="J151" s="8" t="s">
        <v>7</v>
      </c>
      <c r="K151" s="8"/>
      <c r="L151" s="8"/>
      <c r="M151" s="8"/>
      <c r="N151" s="8"/>
      <c r="O151" s="8"/>
      <c r="P151" s="8"/>
      <c r="Q151" s="8"/>
      <c r="R151" s="10"/>
      <c r="AE151" s="10"/>
      <c r="AF151" s="13"/>
      <c r="AG151" s="13"/>
      <c r="AH151" s="13"/>
      <c r="AI151" s="13"/>
      <c r="AJ151" s="13"/>
      <c r="AK151" s="13"/>
      <c r="AL151" s="13"/>
      <c r="AM151" s="13"/>
      <c r="AN151" s="13"/>
      <c r="AO151" s="21"/>
    </row>
    <row r="152" spans="1:41" x14ac:dyDescent="0.25">
      <c r="A152" s="8" t="s">
        <v>44</v>
      </c>
      <c r="B152" s="28">
        <f>B107/$G134/1000000*100</f>
        <v>1.5512337938315239E-3</v>
      </c>
      <c r="C152" s="28">
        <f t="shared" ref="C152:J152" si="30">C107/$G134/1000000*100</f>
        <v>2.373032950817366E-3</v>
      </c>
      <c r="D152" s="28">
        <f t="shared" si="30"/>
        <v>3.116128579777023E-3</v>
      </c>
      <c r="E152" s="28">
        <f t="shared" si="30"/>
        <v>3.8592242087366808E-3</v>
      </c>
      <c r="F152" s="28">
        <f t="shared" si="30"/>
        <v>5.0215768408752321E-3</v>
      </c>
      <c r="G152" s="28">
        <f t="shared" si="30"/>
        <v>5.9050169751362989E-3</v>
      </c>
      <c r="H152" s="28">
        <f t="shared" si="30"/>
        <v>6.7529268548906793E-3</v>
      </c>
      <c r="I152" s="28">
        <f t="shared" si="30"/>
        <v>8.4487466143994411E-3</v>
      </c>
      <c r="J152" s="28">
        <f t="shared" si="30"/>
        <v>1.0180096628414887E-2</v>
      </c>
      <c r="K152" s="28"/>
      <c r="L152" s="28"/>
      <c r="M152" s="28"/>
      <c r="N152" s="28"/>
      <c r="O152" s="28"/>
      <c r="AE152" s="10"/>
      <c r="AF152" s="13"/>
      <c r="AG152" s="13"/>
      <c r="AH152" s="13"/>
      <c r="AI152" s="13"/>
      <c r="AJ152" s="13"/>
      <c r="AK152" s="13"/>
      <c r="AL152" s="13"/>
      <c r="AM152" s="13"/>
      <c r="AN152" s="13"/>
      <c r="AO152" s="21"/>
    </row>
    <row r="153" spans="1:41" x14ac:dyDescent="0.25">
      <c r="A153" s="8" t="s">
        <v>45</v>
      </c>
      <c r="B153" s="28">
        <f>B108/$G135/1000000*100</f>
        <v>1.7469573819642442E-3</v>
      </c>
      <c r="C153" s="28">
        <f t="shared" ref="C153:J153" si="31">C108/$G135/1000000*100</f>
        <v>2.7742063281965476E-3</v>
      </c>
      <c r="D153" s="28">
        <f t="shared" si="31"/>
        <v>3.7030758643961177E-3</v>
      </c>
      <c r="E153" s="28">
        <f t="shared" si="31"/>
        <v>4.6319454005956896E-3</v>
      </c>
      <c r="F153" s="28">
        <f t="shared" si="31"/>
        <v>5.5608149367952601E-3</v>
      </c>
      <c r="G153" s="28">
        <f t="shared" si="31"/>
        <v>6.5340972911281901E-3</v>
      </c>
      <c r="H153" s="28">
        <f t="shared" si="31"/>
        <v>8.2490737082881894E-3</v>
      </c>
      <c r="I153" s="28">
        <f t="shared" si="31"/>
        <v>1.0368848407674141E-2</v>
      </c>
      <c r="J153" s="28">
        <f t="shared" si="31"/>
        <v>1.2533035925193448E-2</v>
      </c>
      <c r="K153" s="28"/>
      <c r="L153" s="28"/>
      <c r="M153" s="28"/>
      <c r="N153" s="28"/>
      <c r="O153" s="28"/>
      <c r="AE153" s="10"/>
      <c r="AF153" s="13"/>
      <c r="AG153" s="13"/>
      <c r="AH153" s="13"/>
      <c r="AI153" s="13"/>
      <c r="AJ153" s="13"/>
      <c r="AK153" s="13"/>
      <c r="AL153" s="13"/>
      <c r="AM153" s="13"/>
      <c r="AN153" s="13"/>
      <c r="AO153" s="21"/>
    </row>
    <row r="154" spans="1:41" x14ac:dyDescent="0.25">
      <c r="A154" s="8" t="s">
        <v>46</v>
      </c>
      <c r="B154" s="28">
        <f t="shared" ref="B154:J154" si="32">B109/$G136/1000000*100</f>
        <v>1.9796390698050971E-3</v>
      </c>
      <c r="C154" s="28">
        <f t="shared" si="32"/>
        <v>2.9025583988036923E-3</v>
      </c>
      <c r="D154" s="28">
        <f t="shared" si="32"/>
        <v>4.3269812487233463E-3</v>
      </c>
      <c r="E154" s="28">
        <f t="shared" si="32"/>
        <v>5.4416246921628313E-3</v>
      </c>
      <c r="F154" s="28">
        <f t="shared" si="32"/>
        <v>6.5562681356023163E-3</v>
      </c>
      <c r="G154" s="28">
        <f t="shared" si="32"/>
        <v>7.7242069608018313E-3</v>
      </c>
      <c r="H154" s="28">
        <f t="shared" si="32"/>
        <v>8.838850404241318E-3</v>
      </c>
      <c r="I154" s="28">
        <f t="shared" si="32"/>
        <v>1.2325908300656973E-2</v>
      </c>
      <c r="J154" s="28">
        <f t="shared" si="32"/>
        <v>1.4922933321680144E-2</v>
      </c>
      <c r="K154" s="28"/>
      <c r="L154" s="28"/>
      <c r="M154" s="28"/>
      <c r="N154" s="28"/>
      <c r="O154" s="28"/>
      <c r="AE154" s="10"/>
      <c r="AF154" s="13"/>
      <c r="AG154" s="13"/>
      <c r="AH154" s="13"/>
      <c r="AI154" s="13"/>
      <c r="AJ154" s="13"/>
      <c r="AK154" s="13"/>
      <c r="AL154" s="13"/>
      <c r="AM154" s="13"/>
      <c r="AN154" s="13"/>
      <c r="AO154" s="21"/>
    </row>
    <row r="155" spans="1:41" x14ac:dyDescent="0.25">
      <c r="A155" s="8" t="s">
        <v>47</v>
      </c>
      <c r="B155" s="28">
        <f t="shared" ref="B155:J155" si="33">B110/$G137/1000000*100</f>
        <v>2.5779634099672892E-3</v>
      </c>
      <c r="C155" s="28">
        <f t="shared" si="33"/>
        <v>3.8964195942509969E-3</v>
      </c>
      <c r="D155" s="28">
        <f t="shared" si="33"/>
        <v>5.0462253613357336E-3</v>
      </c>
      <c r="E155" s="28">
        <f t="shared" si="33"/>
        <v>7.5236571561926244E-3</v>
      </c>
      <c r="F155" s="28">
        <f t="shared" si="33"/>
        <v>9.1160049325347461E-3</v>
      </c>
      <c r="G155" s="28">
        <f t="shared" si="33"/>
        <v>1.0784488968534052E-2</v>
      </c>
      <c r="H155" s="28">
        <f t="shared" si="33"/>
        <v>1.2376836744876175E-2</v>
      </c>
      <c r="I155" s="28">
        <f t="shared" si="33"/>
        <v>1.7358348025469969E-2</v>
      </c>
      <c r="J155" s="28">
        <f t="shared" si="33"/>
        <v>1.8822364109901846E-2</v>
      </c>
      <c r="K155" s="28"/>
      <c r="L155" s="28"/>
      <c r="M155" s="28"/>
      <c r="N155" s="28"/>
      <c r="O155" s="28"/>
      <c r="AE155" s="21"/>
      <c r="AF155" s="21"/>
      <c r="AG155" s="21"/>
      <c r="AH155" s="21"/>
      <c r="AI155" s="21"/>
      <c r="AJ155" s="21"/>
      <c r="AK155" s="21"/>
      <c r="AL155" s="21"/>
      <c r="AM155" s="21"/>
      <c r="AN155" s="21"/>
    </row>
    <row r="156" spans="1:41" x14ac:dyDescent="0.25">
      <c r="A156" s="8" t="s">
        <v>8</v>
      </c>
      <c r="B156" s="28">
        <f t="shared" ref="B156:J156" si="34">B111/$G138/1000000*100</f>
        <v>3.3393081064358537E-3</v>
      </c>
      <c r="C156" s="28">
        <f t="shared" si="34"/>
        <v>5.1851467644330445E-3</v>
      </c>
      <c r="D156" s="28">
        <f t="shared" si="34"/>
        <v>6.7948748383516774E-3</v>
      </c>
      <c r="E156" s="28">
        <f t="shared" si="34"/>
        <v>8.4046029122703085E-3</v>
      </c>
      <c r="F156" s="28">
        <f t="shared" si="34"/>
        <v>1.0014330986188941E-2</v>
      </c>
      <c r="G156" s="28">
        <f t="shared" si="34"/>
        <v>1.4828443888429322E-2</v>
      </c>
      <c r="H156" s="28">
        <f t="shared" si="34"/>
        <v>1.705773077530829E-2</v>
      </c>
      <c r="I156" s="28">
        <f t="shared" si="34"/>
        <v>2.4031846568139607E-2</v>
      </c>
      <c r="J156" s="28">
        <f t="shared" si="34"/>
        <v>2.6081469086344237E-2</v>
      </c>
      <c r="K156" s="28"/>
      <c r="L156" s="28"/>
      <c r="M156" s="28"/>
      <c r="N156" s="28"/>
      <c r="O156" s="28"/>
    </row>
    <row r="157" spans="1:41" x14ac:dyDescent="0.25">
      <c r="A157" s="8" t="s">
        <v>9</v>
      </c>
      <c r="B157" s="28">
        <f t="shared" ref="B157:J157" si="35">B112/$G139/1000000*100</f>
        <v>3.6562354463453334E-3</v>
      </c>
      <c r="C157" s="28">
        <f t="shared" si="35"/>
        <v>5.963533768841821E-3</v>
      </c>
      <c r="D157" s="28">
        <f t="shared" si="35"/>
        <v>7.9756938612401112E-3</v>
      </c>
      <c r="E157" s="28">
        <f t="shared" si="35"/>
        <v>9.9878539536384023E-3</v>
      </c>
      <c r="F157" s="28">
        <f t="shared" si="35"/>
        <v>1.2000014046036695E-2</v>
      </c>
      <c r="G157" s="28">
        <f t="shared" si="35"/>
        <v>1.4145412592835057E-2</v>
      </c>
      <c r="H157" s="28">
        <f t="shared" si="35"/>
        <v>1.6157572685233348E-2</v>
      </c>
      <c r="I157" s="28">
        <f t="shared" si="35"/>
        <v>2.952190852347502E-2</v>
      </c>
      <c r="J157" s="28">
        <f t="shared" si="35"/>
        <v>3.2083936671230807E-2</v>
      </c>
      <c r="K157" s="28"/>
      <c r="L157" s="28"/>
      <c r="M157" s="28"/>
      <c r="N157" s="28"/>
      <c r="O157" s="28"/>
    </row>
    <row r="158" spans="1:41" x14ac:dyDescent="0.25">
      <c r="A158" s="8" t="s">
        <v>10</v>
      </c>
      <c r="B158" s="28">
        <f t="shared" ref="B158:J158" si="36">B113/$G140/1000000*100</f>
        <v>4.223350942378465E-3</v>
      </c>
      <c r="C158" s="28">
        <f>C113/$G140/1000000*100</f>
        <v>6.9777557742402721E-3</v>
      </c>
      <c r="D158" s="28">
        <f t="shared" si="36"/>
        <v>9.9826288289048357E-3</v>
      </c>
      <c r="E158" s="28">
        <f t="shared" si="36"/>
        <v>1.2665508952102555E-2</v>
      </c>
      <c r="F158" s="28">
        <f t="shared" si="36"/>
        <v>1.5348389075300279E-2</v>
      </c>
      <c r="G158" s="28">
        <f t="shared" si="36"/>
        <v>1.8208920471031429E-2</v>
      </c>
      <c r="H158" s="28">
        <f t="shared" si="36"/>
        <v>2.0891800594229151E-2</v>
      </c>
      <c r="I158" s="28">
        <f t="shared" si="36"/>
        <v>3.8710915045218043E-2</v>
      </c>
      <c r="J158" s="28">
        <f t="shared" si="36"/>
        <v>3.1800972359553467E-2</v>
      </c>
      <c r="K158" s="28"/>
      <c r="L158" s="28"/>
      <c r="M158" s="28"/>
      <c r="N158" s="28"/>
      <c r="O158" s="28"/>
      <c r="AE158" s="15"/>
    </row>
    <row r="159" spans="1:41" x14ac:dyDescent="0.25">
      <c r="A159" s="8" t="s">
        <v>11</v>
      </c>
      <c r="B159" s="28">
        <f t="shared" ref="B159:J159" si="37">B114/$G141/1000000*100</f>
        <v>6.2329053485847014E-3</v>
      </c>
      <c r="C159" s="28">
        <f t="shared" si="37"/>
        <v>1.0364512596377412E-2</v>
      </c>
      <c r="D159" s="28">
        <f t="shared" si="37"/>
        <v>1.3905843383973731E-2</v>
      </c>
      <c r="E159" s="28">
        <f t="shared" si="37"/>
        <v>1.7447174171570049E-2</v>
      </c>
      <c r="F159" s="28">
        <f t="shared" si="37"/>
        <v>2.2920462547967421E-2</v>
      </c>
      <c r="G159" s="28">
        <f t="shared" si="37"/>
        <v>2.7211259641564147E-2</v>
      </c>
      <c r="H159" s="28">
        <f t="shared" si="37"/>
        <v>3.1235579826360729E-2</v>
      </c>
      <c r="I159" s="28">
        <f t="shared" si="37"/>
        <v>5.7964251502844066E-2</v>
      </c>
      <c r="J159" s="28">
        <f t="shared" si="37"/>
        <v>4.7599337474347199E-2</v>
      </c>
      <c r="K159" s="28"/>
      <c r="L159" s="28"/>
      <c r="M159" s="28"/>
      <c r="N159" s="28"/>
      <c r="O159" s="28"/>
    </row>
    <row r="160" spans="1:41" x14ac:dyDescent="0.25">
      <c r="A160" s="8" t="s">
        <v>12</v>
      </c>
      <c r="B160" s="28">
        <f t="shared" ref="B160:J160" si="38">B115/$G142/1000000*100</f>
        <v>1.0131614926129478E-2</v>
      </c>
      <c r="C160" s="28">
        <f t="shared" si="38"/>
        <v>1.7995114058514682E-2</v>
      </c>
      <c r="D160" s="28">
        <f t="shared" si="38"/>
        <v>2.4678060270507101E-2</v>
      </c>
      <c r="E160" s="28">
        <f t="shared" si="38"/>
        <v>3.2560152572100175E-2</v>
      </c>
      <c r="F160" s="28">
        <f t="shared" si="38"/>
        <v>3.9642814147292815E-2</v>
      </c>
      <c r="G160" s="28">
        <f t="shared" si="38"/>
        <v>4.7258429540085738E-2</v>
      </c>
      <c r="H160" s="28">
        <f t="shared" si="38"/>
        <v>5.4341091115278378E-2</v>
      </c>
      <c r="I160" s="28">
        <f t="shared" si="38"/>
        <v>6.8506414265663659E-2</v>
      </c>
      <c r="J160" s="28">
        <f t="shared" si="38"/>
        <v>8.3204691233649222E-2</v>
      </c>
      <c r="K160" s="28"/>
      <c r="L160" s="28"/>
      <c r="M160" s="28"/>
      <c r="N160" s="28"/>
      <c r="O160" s="28"/>
    </row>
    <row r="161" spans="1:41" x14ac:dyDescent="0.25">
      <c r="A161" s="8" t="s">
        <v>13</v>
      </c>
      <c r="B161" s="28">
        <f t="shared" ref="B161:J161" si="39">B116/$G143/1000000*100</f>
        <v>1.2779721846443593E-2</v>
      </c>
      <c r="C161" s="28">
        <f t="shared" si="39"/>
        <v>2.6508143295212915E-2</v>
      </c>
      <c r="D161" s="28">
        <f t="shared" si="39"/>
        <v>4.187261253519884E-2</v>
      </c>
      <c r="E161" s="28">
        <f t="shared" si="39"/>
        <v>5.5238504959183678E-2</v>
      </c>
      <c r="F161" s="28">
        <f t="shared" si="39"/>
        <v>6.8604397383168522E-2</v>
      </c>
      <c r="G161" s="28">
        <f t="shared" si="39"/>
        <v>8.3036197442353937E-2</v>
      </c>
      <c r="H161" s="28">
        <f t="shared" si="39"/>
        <v>9.6402089866338775E-2</v>
      </c>
      <c r="I161" s="28">
        <f t="shared" si="39"/>
        <v>0.12313387471430846</v>
      </c>
      <c r="J161" s="28">
        <f t="shared" si="39"/>
        <v>0.15892587446148307</v>
      </c>
      <c r="K161" s="28"/>
      <c r="L161" s="28"/>
      <c r="M161" s="28"/>
      <c r="N161" s="28"/>
      <c r="O161" s="28"/>
    </row>
    <row r="162" spans="1:41" x14ac:dyDescent="0.25">
      <c r="A162" s="8" t="s">
        <v>14</v>
      </c>
      <c r="B162" s="28">
        <f t="shared" ref="B162:J162" si="40">B117/$G144/1000000*100</f>
        <v>1.5974652308054491E-2</v>
      </c>
      <c r="C162" s="28">
        <f t="shared" si="40"/>
        <v>3.3135179119016145E-2</v>
      </c>
      <c r="D162" s="28">
        <f t="shared" si="40"/>
        <v>5.2340765668998555E-2</v>
      </c>
      <c r="E162" s="28">
        <f t="shared" si="40"/>
        <v>6.9048131198979609E-2</v>
      </c>
      <c r="F162" s="28">
        <f t="shared" si="40"/>
        <v>8.5755496728960642E-2</v>
      </c>
      <c r="G162" s="28">
        <f t="shared" si="40"/>
        <v>0.10379524680294244</v>
      </c>
      <c r="H162" s="28">
        <f t="shared" si="40"/>
        <v>0.12050261233292348</v>
      </c>
      <c r="I162" s="28">
        <f t="shared" si="40"/>
        <v>0.15391734339288557</v>
      </c>
      <c r="J162" s="28">
        <f t="shared" si="40"/>
        <v>0.18866445899684839</v>
      </c>
      <c r="K162" s="28"/>
      <c r="L162" s="28"/>
      <c r="M162" s="28"/>
      <c r="N162" s="28"/>
      <c r="O162" s="28"/>
      <c r="AE162" s="10"/>
      <c r="AF162" s="10"/>
      <c r="AG162" s="10"/>
      <c r="AH162" s="10"/>
      <c r="AI162" s="10"/>
      <c r="AJ162" s="10"/>
      <c r="AK162" s="10"/>
      <c r="AL162" s="10"/>
      <c r="AM162" s="10"/>
      <c r="AN162" s="10"/>
      <c r="AO162" s="21"/>
    </row>
    <row r="163" spans="1:41" x14ac:dyDescent="0.25">
      <c r="A163" s="8" t="s">
        <v>15</v>
      </c>
      <c r="B163" s="28">
        <f t="shared" ref="B163:J163" si="41">B118/$G145/1000000*100</f>
        <v>1.7798242754179433E-2</v>
      </c>
      <c r="C163" s="28">
        <f t="shared" si="41"/>
        <v>4.0678945168794972E-2</v>
      </c>
      <c r="D163" s="28">
        <f t="shared" si="41"/>
        <v>5.9624471182101221E-2</v>
      </c>
      <c r="E163" s="28">
        <f t="shared" si="41"/>
        <v>7.8569997195407457E-2</v>
      </c>
      <c r="F163" s="28">
        <f t="shared" si="41"/>
        <v>0.11083936864872097</v>
      </c>
      <c r="G163" s="28">
        <f t="shared" si="41"/>
        <v>0.13489236874736335</v>
      </c>
      <c r="H163" s="28">
        <f t="shared" si="41"/>
        <v>0.15716885612067141</v>
      </c>
      <c r="I163" s="28">
        <f t="shared" si="41"/>
        <v>0.20172183086728754</v>
      </c>
      <c r="J163" s="28">
        <f t="shared" si="41"/>
        <v>0.24805131833923796</v>
      </c>
      <c r="K163" s="28"/>
      <c r="L163" s="28"/>
      <c r="M163" s="28"/>
      <c r="N163" s="28"/>
      <c r="O163" s="28"/>
      <c r="AE163" s="15"/>
      <c r="AF163" s="12"/>
      <c r="AG163" s="29"/>
      <c r="AH163" s="29"/>
      <c r="AI163" s="10"/>
      <c r="AJ163" s="10"/>
      <c r="AK163" s="10"/>
      <c r="AL163" s="10"/>
      <c r="AM163" s="10"/>
      <c r="AN163" s="10"/>
      <c r="AO163" s="21"/>
    </row>
    <row r="164" spans="1:41" x14ac:dyDescent="0.25">
      <c r="A164" s="8" t="s">
        <v>16</v>
      </c>
      <c r="B164" s="28">
        <f t="shared" ref="B164:J164" si="42">B119/$G146/1000000*100</f>
        <v>2.6697364131269146E-2</v>
      </c>
      <c r="C164" s="28">
        <f t="shared" si="42"/>
        <v>6.1018417753192465E-2</v>
      </c>
      <c r="D164" s="28">
        <f t="shared" si="42"/>
        <v>8.9436706773151825E-2</v>
      </c>
      <c r="E164" s="28">
        <f t="shared" si="42"/>
        <v>0.11785499579311119</v>
      </c>
      <c r="F164" s="28">
        <f t="shared" si="42"/>
        <v>0.14627328481307059</v>
      </c>
      <c r="G164" s="28">
        <f t="shared" si="42"/>
        <v>0.17735634292103136</v>
      </c>
      <c r="H164" s="28">
        <f t="shared" si="42"/>
        <v>0.2057746319409908</v>
      </c>
      <c r="I164" s="28">
        <f t="shared" si="42"/>
        <v>0.30258274630093129</v>
      </c>
      <c r="J164" s="28">
        <f t="shared" si="42"/>
        <v>0.37207697750885699</v>
      </c>
      <c r="K164" s="28"/>
      <c r="L164" s="28"/>
      <c r="M164" s="28"/>
      <c r="N164" s="28"/>
      <c r="O164" s="28"/>
      <c r="AE164" s="10"/>
      <c r="AF164" s="30"/>
      <c r="AG164" s="30"/>
      <c r="AH164" s="30"/>
      <c r="AI164" s="30"/>
      <c r="AJ164" s="30"/>
      <c r="AK164" s="30"/>
      <c r="AL164" s="30"/>
      <c r="AM164" s="30"/>
      <c r="AN164" s="31"/>
      <c r="AO164" s="21"/>
    </row>
    <row r="165" spans="1:41" x14ac:dyDescent="0.25">
      <c r="A165" s="8" t="s">
        <v>17</v>
      </c>
      <c r="B165" s="28">
        <f t="shared" ref="B165:J165" si="43">B120/$G147/1000000*100</f>
        <v>4.4933268592518574E-2</v>
      </c>
      <c r="C165" s="28">
        <f t="shared" si="43"/>
        <v>0.10691345311636152</v>
      </c>
      <c r="D165" s="28">
        <f t="shared" si="43"/>
        <v>0.17041195387628394</v>
      </c>
      <c r="E165" s="28">
        <f t="shared" si="43"/>
        <v>0.22724853191620265</v>
      </c>
      <c r="F165" s="28">
        <f t="shared" si="43"/>
        <v>0.28408510995612141</v>
      </c>
      <c r="G165" s="28">
        <f t="shared" si="43"/>
        <v>0.34625122617204307</v>
      </c>
      <c r="H165" s="28">
        <f t="shared" si="43"/>
        <v>0.40308780421196178</v>
      </c>
      <c r="I165" s="28">
        <f t="shared" si="43"/>
        <v>0.5167609602917993</v>
      </c>
      <c r="J165" s="28">
        <f t="shared" si="43"/>
        <v>0.63576365454763972</v>
      </c>
      <c r="K165" s="28"/>
      <c r="L165" s="28"/>
      <c r="M165" s="28"/>
      <c r="N165" s="28"/>
      <c r="O165" s="28"/>
      <c r="AE165" s="10"/>
      <c r="AF165" s="30"/>
      <c r="AG165" s="30"/>
      <c r="AH165" s="30"/>
      <c r="AI165" s="30"/>
      <c r="AJ165" s="30"/>
      <c r="AK165" s="30"/>
      <c r="AL165" s="30"/>
      <c r="AM165" s="30"/>
      <c r="AN165" s="31"/>
      <c r="AO165" s="21"/>
    </row>
    <row r="166" spans="1:41" x14ac:dyDescent="0.25">
      <c r="A166" s="8"/>
      <c r="B166" s="22"/>
      <c r="C166" s="22"/>
      <c r="D166" s="22"/>
      <c r="E166" s="22"/>
      <c r="F166" s="22"/>
      <c r="G166" s="22"/>
      <c r="H166" s="22"/>
      <c r="I166" s="22"/>
      <c r="J166" s="22"/>
      <c r="K166" s="22"/>
      <c r="L166" s="22"/>
      <c r="M166" s="22"/>
      <c r="AE166" s="10"/>
      <c r="AF166" s="30"/>
      <c r="AG166" s="30"/>
      <c r="AH166" s="30"/>
      <c r="AI166" s="30"/>
      <c r="AJ166" s="30"/>
      <c r="AK166" s="30"/>
      <c r="AL166" s="30"/>
      <c r="AM166" s="30"/>
      <c r="AN166" s="31"/>
      <c r="AO166" s="21"/>
    </row>
    <row r="167" spans="1:41" x14ac:dyDescent="0.25">
      <c r="A167" s="8"/>
      <c r="B167" s="12"/>
      <c r="C167" s="12"/>
      <c r="D167" s="12"/>
      <c r="E167" s="17"/>
      <c r="F167" s="17"/>
      <c r="G167" s="17"/>
      <c r="I167" s="19"/>
    </row>
    <row r="168" spans="1:41" x14ac:dyDescent="0.25">
      <c r="A168" s="16" t="s">
        <v>68</v>
      </c>
      <c r="B168" s="12"/>
      <c r="C168" s="12"/>
      <c r="D168" s="12"/>
      <c r="E168" s="17"/>
      <c r="F168" s="17"/>
      <c r="G168" s="17"/>
      <c r="I168" s="19"/>
    </row>
    <row r="170" spans="1:41" x14ac:dyDescent="0.25">
      <c r="A170" s="113" t="s">
        <v>52</v>
      </c>
      <c r="B170" s="178"/>
      <c r="C170" s="4"/>
      <c r="D170" s="5"/>
      <c r="E170" s="5"/>
      <c r="F170" s="6"/>
      <c r="G170" s="6"/>
      <c r="H170" s="3"/>
      <c r="I170" s="3"/>
      <c r="J170" s="3"/>
      <c r="K170" s="3"/>
      <c r="L170" s="3"/>
      <c r="M170" s="3"/>
      <c r="N170" s="3"/>
      <c r="O170" s="1"/>
      <c r="P170" s="1"/>
      <c r="Q170" s="1"/>
      <c r="R170" s="1"/>
      <c r="S170" s="1"/>
      <c r="T170" s="1"/>
      <c r="U170" s="1"/>
      <c r="V170" s="1"/>
      <c r="W170" s="1"/>
    </row>
    <row r="171" spans="1:41" x14ac:dyDescent="0.25">
      <c r="A171" s="7"/>
      <c r="B171" s="4"/>
      <c r="C171" s="4"/>
      <c r="D171" s="5"/>
      <c r="E171" s="5"/>
      <c r="F171" s="6"/>
      <c r="G171" s="6"/>
      <c r="H171" s="3"/>
      <c r="I171" s="3"/>
      <c r="J171" s="3"/>
      <c r="K171" s="3"/>
      <c r="L171" s="3"/>
      <c r="M171" s="3"/>
      <c r="N171" s="3"/>
      <c r="O171" s="1"/>
      <c r="P171" s="1"/>
      <c r="Q171" s="1"/>
      <c r="R171" s="1"/>
      <c r="S171" s="1"/>
      <c r="T171" s="1"/>
      <c r="U171" s="1"/>
      <c r="V171" s="1"/>
      <c r="W171" s="1"/>
    </row>
    <row r="172" spans="1:41" x14ac:dyDescent="0.25">
      <c r="A172" s="111"/>
      <c r="B172" s="42"/>
      <c r="C172" s="42"/>
      <c r="D172" s="42"/>
      <c r="E172" s="43" t="s">
        <v>42</v>
      </c>
      <c r="F172" s="42"/>
      <c r="G172" s="42"/>
      <c r="H172" s="42"/>
      <c r="I172" s="46">
        <f>'Original Formula'!$B$83</f>
        <v>6.756506378150271</v>
      </c>
      <c r="J172" s="42"/>
      <c r="K172" s="42"/>
      <c r="L172" s="42"/>
      <c r="M172" s="42"/>
      <c r="N172" s="42"/>
      <c r="O172" s="42"/>
      <c r="P172" s="42"/>
      <c r="Q172" s="42"/>
      <c r="R172" s="42"/>
      <c r="S172" s="42"/>
      <c r="T172" s="42"/>
      <c r="U172" s="42"/>
      <c r="V172" s="72"/>
      <c r="W172" s="73"/>
    </row>
    <row r="173" spans="1:41" x14ac:dyDescent="0.25">
      <c r="A173" s="131" t="s">
        <v>81</v>
      </c>
      <c r="B173" s="39"/>
      <c r="C173" s="39"/>
      <c r="D173" s="40"/>
      <c r="E173" s="40"/>
      <c r="F173" s="41"/>
      <c r="G173" s="41"/>
      <c r="H173" s="42"/>
      <c r="I173" s="42"/>
      <c r="J173" s="42"/>
      <c r="K173" s="42"/>
      <c r="L173" s="42"/>
      <c r="M173" s="42"/>
      <c r="N173" s="77"/>
      <c r="P173" s="42"/>
      <c r="Q173" s="42"/>
      <c r="R173" s="42"/>
      <c r="S173" s="42"/>
      <c r="T173" s="42"/>
      <c r="V173" s="72"/>
      <c r="W173" s="72"/>
    </row>
    <row r="174" spans="1:41" x14ac:dyDescent="0.25">
      <c r="A174" s="112" t="s">
        <v>88</v>
      </c>
      <c r="B174" s="47" t="s">
        <v>33</v>
      </c>
      <c r="C174" s="48"/>
      <c r="D174" s="40"/>
      <c r="E174" s="40"/>
      <c r="F174" s="41"/>
      <c r="G174" s="41"/>
      <c r="H174" s="42"/>
      <c r="I174" s="42"/>
      <c r="J174" s="42"/>
      <c r="K174" s="42"/>
      <c r="L174" s="42"/>
      <c r="M174" s="42"/>
      <c r="N174" s="42"/>
      <c r="O174" s="42"/>
      <c r="P174" s="42"/>
      <c r="Q174" s="42"/>
      <c r="R174" s="42"/>
      <c r="S174" s="42"/>
      <c r="T174" s="42"/>
      <c r="U174" s="42"/>
      <c r="V174" s="72"/>
      <c r="W174" s="72"/>
    </row>
    <row r="175" spans="1:41" ht="15" x14ac:dyDescent="0.2">
      <c r="A175" s="50" t="s">
        <v>44</v>
      </c>
      <c r="B175" s="49">
        <f>B152</f>
        <v>1.5512337938315239E-3</v>
      </c>
      <c r="C175" s="48">
        <f>LN(B175)</f>
        <v>-6.468704668667459</v>
      </c>
      <c r="D175" s="40"/>
      <c r="E175" s="40"/>
      <c r="F175" s="41"/>
      <c r="G175" s="41"/>
      <c r="H175" s="42"/>
      <c r="I175" s="42"/>
      <c r="J175" s="42"/>
      <c r="K175" s="42"/>
      <c r="L175" s="42"/>
      <c r="M175" s="42"/>
      <c r="N175" s="42"/>
      <c r="O175" s="42"/>
      <c r="P175" s="42"/>
      <c r="Q175" s="42"/>
      <c r="R175" s="42"/>
      <c r="S175" s="42"/>
      <c r="T175" s="42"/>
      <c r="U175" s="42"/>
      <c r="V175" s="72"/>
      <c r="W175" s="72"/>
    </row>
    <row r="176" spans="1:41" ht="15" x14ac:dyDescent="0.2">
      <c r="A176" s="50" t="s">
        <v>45</v>
      </c>
      <c r="B176" s="49">
        <f t="shared" ref="B176:B188" si="44">B153</f>
        <v>1.7469573819642442E-3</v>
      </c>
      <c r="C176" s="48">
        <f t="shared" ref="C176:C187" si="45">LN(B176)</f>
        <v>-6.3498796431110405</v>
      </c>
      <c r="D176" s="40"/>
      <c r="E176" s="40"/>
      <c r="F176" s="41"/>
      <c r="G176" s="41"/>
      <c r="H176" s="42"/>
      <c r="I176" s="42"/>
      <c r="J176" s="42"/>
      <c r="K176" s="42"/>
      <c r="L176" s="42"/>
      <c r="M176" s="42"/>
      <c r="N176" s="42"/>
      <c r="O176" s="42"/>
      <c r="P176" s="42"/>
      <c r="Q176" s="42"/>
      <c r="R176" s="42"/>
      <c r="S176" s="42"/>
      <c r="T176" s="42"/>
      <c r="U176" s="42"/>
      <c r="V176" s="72"/>
      <c r="W176" s="72"/>
    </row>
    <row r="177" spans="1:23" ht="15" x14ac:dyDescent="0.2">
      <c r="A177" s="50" t="s">
        <v>46</v>
      </c>
      <c r="B177" s="49">
        <f t="shared" si="44"/>
        <v>1.9796390698050971E-3</v>
      </c>
      <c r="C177" s="48">
        <f t="shared" si="45"/>
        <v>-6.2248407388693892</v>
      </c>
      <c r="D177" s="40"/>
      <c r="E177" s="40"/>
      <c r="F177" s="41"/>
      <c r="G177" s="41"/>
      <c r="H177" s="42"/>
      <c r="I177" s="42"/>
      <c r="J177" s="42"/>
      <c r="K177" s="42"/>
      <c r="L177" s="42"/>
      <c r="M177" s="42"/>
      <c r="N177" s="42"/>
      <c r="O177" s="42"/>
      <c r="P177" s="42"/>
      <c r="Q177" s="42"/>
      <c r="R177" s="42"/>
      <c r="S177" s="42"/>
      <c r="T177" s="42"/>
      <c r="U177" s="42"/>
      <c r="V177" s="72"/>
      <c r="W177" s="72"/>
    </row>
    <row r="178" spans="1:23" ht="15" x14ac:dyDescent="0.2">
      <c r="A178" s="50" t="s">
        <v>47</v>
      </c>
      <c r="B178" s="49">
        <f t="shared" si="44"/>
        <v>2.5779634099672892E-3</v>
      </c>
      <c r="C178" s="48">
        <f t="shared" si="45"/>
        <v>-5.9607555677515567</v>
      </c>
      <c r="D178" s="40"/>
      <c r="E178" s="40"/>
      <c r="F178" s="41"/>
      <c r="G178" s="41"/>
      <c r="H178" s="42"/>
      <c r="I178" s="42"/>
      <c r="J178" s="42"/>
      <c r="K178" s="42"/>
      <c r="L178" s="42"/>
      <c r="M178" s="42"/>
      <c r="N178" s="42"/>
      <c r="O178" s="42"/>
      <c r="P178" s="42"/>
      <c r="Q178" s="42"/>
      <c r="R178" s="42"/>
      <c r="S178" s="42"/>
      <c r="T178" s="42"/>
      <c r="U178" s="42"/>
      <c r="V178" s="72"/>
      <c r="W178" s="72"/>
    </row>
    <row r="179" spans="1:23" ht="15" x14ac:dyDescent="0.2">
      <c r="A179" s="50" t="s">
        <v>8</v>
      </c>
      <c r="B179" s="49">
        <f t="shared" si="44"/>
        <v>3.3393081064358537E-3</v>
      </c>
      <c r="C179" s="48">
        <f t="shared" si="45"/>
        <v>-5.7019916472145526</v>
      </c>
      <c r="D179" s="40"/>
      <c r="E179" s="40"/>
      <c r="F179" s="41"/>
      <c r="G179" s="41"/>
      <c r="H179" s="42"/>
      <c r="I179" s="42"/>
      <c r="J179" s="42"/>
      <c r="K179" s="42"/>
      <c r="L179" s="42"/>
      <c r="M179" s="42"/>
      <c r="N179" s="42"/>
      <c r="O179" s="42"/>
      <c r="P179" s="42"/>
      <c r="Q179" s="42"/>
      <c r="R179" s="42"/>
      <c r="S179" s="42"/>
      <c r="T179" s="42"/>
      <c r="U179" s="42"/>
      <c r="V179" s="72"/>
      <c r="W179" s="44"/>
    </row>
    <row r="180" spans="1:23" ht="15" x14ac:dyDescent="0.2">
      <c r="A180" s="50" t="s">
        <v>9</v>
      </c>
      <c r="B180" s="49">
        <f t="shared" si="44"/>
        <v>3.6562354463453334E-3</v>
      </c>
      <c r="C180" s="48">
        <f t="shared" si="45"/>
        <v>-5.6113212274787765</v>
      </c>
      <c r="D180" s="40"/>
      <c r="E180" s="40"/>
      <c r="F180" s="41"/>
      <c r="G180" s="41"/>
      <c r="H180" s="42"/>
      <c r="I180" s="42"/>
      <c r="J180" s="42"/>
      <c r="K180" s="42"/>
      <c r="L180" s="42"/>
      <c r="M180" s="42"/>
      <c r="N180" s="42"/>
      <c r="O180" s="42"/>
      <c r="P180" s="42"/>
      <c r="Q180" s="42"/>
      <c r="R180" s="42"/>
      <c r="S180" s="42"/>
      <c r="T180" s="42"/>
      <c r="U180" s="42"/>
      <c r="V180" s="72"/>
      <c r="W180" s="44"/>
    </row>
    <row r="181" spans="1:23" ht="15" x14ac:dyDescent="0.2">
      <c r="A181" s="50" t="s">
        <v>10</v>
      </c>
      <c r="B181" s="49">
        <f t="shared" si="44"/>
        <v>4.223350942378465E-3</v>
      </c>
      <c r="C181" s="48">
        <f t="shared" si="45"/>
        <v>-5.4671264038597984</v>
      </c>
      <c r="D181" s="40"/>
      <c r="E181" s="40"/>
      <c r="F181" s="41"/>
      <c r="G181" s="41"/>
      <c r="H181" s="42"/>
      <c r="I181" s="42"/>
      <c r="J181" s="42"/>
      <c r="K181" s="42"/>
      <c r="L181" s="42"/>
      <c r="M181" s="42"/>
      <c r="N181" s="42"/>
      <c r="O181" s="42"/>
      <c r="P181" s="42"/>
      <c r="Q181" s="42"/>
      <c r="R181" s="42"/>
      <c r="S181" s="42"/>
      <c r="T181" s="42"/>
      <c r="U181" s="42"/>
      <c r="V181" s="72"/>
      <c r="W181" s="74"/>
    </row>
    <row r="182" spans="1:23" ht="15" x14ac:dyDescent="0.2">
      <c r="A182" s="50" t="s">
        <v>11</v>
      </c>
      <c r="B182" s="49">
        <f t="shared" si="44"/>
        <v>6.2329053485847014E-3</v>
      </c>
      <c r="C182" s="48">
        <f t="shared" si="45"/>
        <v>-5.0779127068018175</v>
      </c>
      <c r="D182" s="40"/>
      <c r="E182" s="40"/>
      <c r="F182" s="41"/>
      <c r="G182" s="41"/>
      <c r="H182" s="42"/>
      <c r="I182" s="42"/>
      <c r="J182" s="42"/>
      <c r="K182" s="42"/>
      <c r="L182" s="42"/>
      <c r="M182" s="42"/>
      <c r="N182" s="42"/>
      <c r="O182" s="42"/>
      <c r="P182" s="42"/>
      <c r="Q182" s="42"/>
      <c r="R182" s="42"/>
      <c r="S182" s="42"/>
      <c r="T182" s="42"/>
      <c r="U182" s="42"/>
      <c r="V182" s="72"/>
      <c r="W182" s="74"/>
    </row>
    <row r="183" spans="1:23" ht="15" x14ac:dyDescent="0.2">
      <c r="A183" s="50" t="s">
        <v>12</v>
      </c>
      <c r="B183" s="49">
        <f t="shared" si="44"/>
        <v>1.0131614926129478E-2</v>
      </c>
      <c r="C183" s="48">
        <f t="shared" si="45"/>
        <v>-4.5920945532766018</v>
      </c>
      <c r="D183" s="40"/>
      <c r="E183" s="40"/>
      <c r="F183" s="41"/>
      <c r="G183" s="41"/>
      <c r="H183" s="42"/>
      <c r="I183" s="42"/>
      <c r="J183" s="42"/>
      <c r="K183" s="42"/>
      <c r="L183" s="42"/>
      <c r="M183" s="42"/>
      <c r="N183" s="42"/>
      <c r="O183" s="42"/>
      <c r="P183" s="42"/>
      <c r="Q183" s="42"/>
      <c r="R183" s="42"/>
      <c r="S183" s="42"/>
      <c r="T183" s="42"/>
      <c r="U183" s="42"/>
      <c r="V183" s="72"/>
      <c r="W183" s="72"/>
    </row>
    <row r="184" spans="1:23" ht="15" x14ac:dyDescent="0.2">
      <c r="A184" s="50" t="s">
        <v>13</v>
      </c>
      <c r="B184" s="49">
        <f t="shared" si="44"/>
        <v>1.2779721846443593E-2</v>
      </c>
      <c r="C184" s="48">
        <f t="shared" si="45"/>
        <v>-4.3598955950236267</v>
      </c>
      <c r="D184" s="40"/>
      <c r="E184" s="40"/>
      <c r="F184" s="41"/>
      <c r="G184" s="41"/>
      <c r="H184" s="42"/>
      <c r="I184" s="42"/>
      <c r="J184" s="42"/>
      <c r="K184" s="42"/>
      <c r="L184" s="42"/>
      <c r="M184" s="42"/>
      <c r="N184" s="42"/>
      <c r="O184" s="42"/>
      <c r="P184" s="42"/>
      <c r="Q184" s="42"/>
      <c r="R184" s="42"/>
      <c r="S184" s="42"/>
      <c r="T184" s="42"/>
      <c r="U184" s="42"/>
      <c r="V184" s="72"/>
      <c r="W184" s="75"/>
    </row>
    <row r="185" spans="1:23" x14ac:dyDescent="0.25">
      <c r="A185" s="50" t="s">
        <v>14</v>
      </c>
      <c r="B185" s="49">
        <f t="shared" si="44"/>
        <v>1.5974652308054491E-2</v>
      </c>
      <c r="C185" s="48">
        <f t="shared" si="45"/>
        <v>-4.136752043709417</v>
      </c>
      <c r="D185" s="40"/>
      <c r="E185" s="40"/>
      <c r="F185" s="41"/>
      <c r="G185" s="41"/>
      <c r="H185" s="42"/>
      <c r="I185" s="42"/>
      <c r="J185" s="42"/>
      <c r="K185" s="42"/>
      <c r="L185" s="42"/>
      <c r="M185" s="42"/>
      <c r="N185" s="42"/>
      <c r="O185" s="42"/>
      <c r="P185" s="42"/>
      <c r="Q185" s="42"/>
      <c r="R185" s="42"/>
      <c r="S185" s="42"/>
      <c r="T185" s="42"/>
      <c r="U185" s="42"/>
      <c r="V185" s="72"/>
      <c r="W185" s="76"/>
    </row>
    <row r="186" spans="1:23" x14ac:dyDescent="0.25">
      <c r="A186" s="50" t="s">
        <v>15</v>
      </c>
      <c r="B186" s="49">
        <f t="shared" si="44"/>
        <v>1.7798242754179433E-2</v>
      </c>
      <c r="C186" s="48">
        <f t="shared" si="45"/>
        <v>-4.0286555482327158</v>
      </c>
      <c r="D186" s="40"/>
      <c r="E186" s="40"/>
      <c r="F186" s="41"/>
      <c r="G186" s="41"/>
      <c r="H186" s="42"/>
      <c r="I186" s="42"/>
      <c r="J186" s="42"/>
      <c r="K186" s="42"/>
      <c r="L186" s="42"/>
      <c r="M186" s="42"/>
      <c r="N186" s="42"/>
      <c r="O186" s="42"/>
      <c r="P186" s="42"/>
      <c r="Q186" s="42"/>
      <c r="R186" s="42"/>
      <c r="S186" s="42"/>
      <c r="T186" s="42"/>
      <c r="U186" s="42"/>
      <c r="V186" s="72"/>
      <c r="W186" s="76"/>
    </row>
    <row r="187" spans="1:23" x14ac:dyDescent="0.25">
      <c r="A187" s="50" t="s">
        <v>16</v>
      </c>
      <c r="B187" s="49">
        <f t="shared" si="44"/>
        <v>2.6697364131269146E-2</v>
      </c>
      <c r="C187" s="48">
        <f t="shared" si="45"/>
        <v>-3.6231904401245516</v>
      </c>
      <c r="D187" s="40"/>
      <c r="E187" s="40"/>
      <c r="F187" s="41"/>
      <c r="G187" s="41"/>
      <c r="H187" s="42"/>
      <c r="I187" s="42"/>
      <c r="J187" s="42"/>
      <c r="K187" s="42"/>
      <c r="L187" s="42"/>
      <c r="M187" s="42"/>
      <c r="N187" s="42"/>
      <c r="O187" s="42"/>
      <c r="P187" s="42"/>
      <c r="Q187" s="42"/>
      <c r="R187" s="42"/>
      <c r="S187" s="42"/>
      <c r="T187" s="42"/>
      <c r="U187" s="42"/>
      <c r="V187" s="42"/>
      <c r="W187" s="38"/>
    </row>
    <row r="188" spans="1:23" x14ac:dyDescent="0.25">
      <c r="A188" s="50" t="s">
        <v>17</v>
      </c>
      <c r="B188" s="49">
        <f t="shared" si="44"/>
        <v>4.4933268592518574E-2</v>
      </c>
      <c r="C188" s="48">
        <f>LN(B188)</f>
        <v>-3.1025768099923976</v>
      </c>
      <c r="D188" s="40"/>
      <c r="E188" s="40"/>
      <c r="F188" s="41"/>
      <c r="G188" s="41"/>
      <c r="H188" s="42"/>
      <c r="I188" s="42"/>
      <c r="J188" s="42"/>
      <c r="K188" s="42"/>
      <c r="L188" s="42"/>
      <c r="M188" s="42"/>
      <c r="N188" s="42"/>
      <c r="O188" s="42"/>
      <c r="P188" s="42"/>
      <c r="Q188" s="42"/>
      <c r="R188" s="42"/>
      <c r="S188" s="42"/>
      <c r="T188" s="42"/>
      <c r="U188" s="42"/>
      <c r="V188" s="42"/>
      <c r="W188" s="38"/>
    </row>
    <row r="189" spans="1:23" ht="16.5" thickBot="1" x14ac:dyDescent="0.3">
      <c r="A189" s="38"/>
      <c r="B189" s="49"/>
      <c r="C189" s="39"/>
      <c r="D189" s="40"/>
      <c r="E189" s="40"/>
      <c r="F189" s="41"/>
      <c r="G189" s="41"/>
      <c r="H189" s="42"/>
      <c r="I189" s="42"/>
      <c r="J189" s="42"/>
      <c r="K189" s="42"/>
      <c r="L189" s="42"/>
      <c r="M189" s="42"/>
      <c r="N189" s="42"/>
      <c r="O189" s="42"/>
      <c r="P189" s="42"/>
      <c r="Q189" s="42"/>
      <c r="R189" s="42"/>
      <c r="S189" s="42"/>
      <c r="T189" s="42"/>
      <c r="U189" s="42"/>
      <c r="V189" s="42"/>
      <c r="W189" s="45"/>
    </row>
    <row r="190" spans="1:23" ht="16.5" thickBot="1" x14ac:dyDescent="0.3">
      <c r="A190" s="38"/>
      <c r="B190" s="39"/>
      <c r="C190" s="39"/>
      <c r="D190" s="40"/>
      <c r="E190" s="40"/>
      <c r="F190" s="41"/>
      <c r="G190" s="41"/>
      <c r="H190" s="42"/>
      <c r="I190" s="42"/>
      <c r="J190" s="93" t="s">
        <v>49</v>
      </c>
      <c r="K190" s="3"/>
      <c r="L190" s="96">
        <v>-0.65400000000000003</v>
      </c>
      <c r="M190" s="81"/>
      <c r="O190" s="42"/>
      <c r="P190" s="42"/>
      <c r="Q190" s="42"/>
      <c r="R190" s="42"/>
      <c r="S190" s="42"/>
      <c r="T190" s="42"/>
      <c r="U190" s="42"/>
      <c r="V190" s="42"/>
      <c r="W190" s="45"/>
    </row>
    <row r="191" spans="1:23" ht="16.5" thickBot="1" x14ac:dyDescent="0.3">
      <c r="D191" s="40"/>
      <c r="E191" s="40"/>
      <c r="F191" s="41"/>
      <c r="G191" s="41"/>
      <c r="H191" s="42"/>
      <c r="I191" s="42"/>
      <c r="J191" s="42" t="s">
        <v>50</v>
      </c>
      <c r="K191" s="42"/>
      <c r="L191" s="42"/>
      <c r="M191" s="42"/>
      <c r="N191" s="42"/>
      <c r="S191" s="42"/>
      <c r="T191" s="42"/>
      <c r="U191" s="42"/>
      <c r="V191" s="42"/>
      <c r="W191" s="45"/>
    </row>
    <row r="192" spans="1:23" ht="16.5" thickBot="1" x14ac:dyDescent="0.3">
      <c r="A192" s="94" t="s">
        <v>53</v>
      </c>
      <c r="D192" s="40"/>
      <c r="E192" s="40"/>
      <c r="F192" s="41"/>
      <c r="G192" s="41"/>
      <c r="H192" s="42"/>
      <c r="I192" s="42"/>
      <c r="J192" s="43" t="s">
        <v>51</v>
      </c>
      <c r="K192" s="42"/>
      <c r="L192" s="193">
        <f>EXP(5.8941)</f>
        <v>362.89008780528849</v>
      </c>
      <c r="M192" s="95" t="s">
        <v>43</v>
      </c>
      <c r="S192" s="42"/>
      <c r="T192" s="42"/>
      <c r="U192" s="42"/>
      <c r="V192" s="42"/>
      <c r="W192" s="45"/>
    </row>
    <row r="193" spans="1:23" x14ac:dyDescent="0.25">
      <c r="A193" s="94"/>
      <c r="D193" s="40"/>
      <c r="E193" s="40"/>
      <c r="F193" s="41"/>
      <c r="G193" s="41"/>
      <c r="H193" s="42"/>
      <c r="I193" s="42"/>
      <c r="J193" s="43"/>
      <c r="K193" s="42"/>
      <c r="L193" s="42"/>
      <c r="M193" s="51"/>
      <c r="N193" s="42"/>
      <c r="S193" s="42"/>
      <c r="T193" s="42"/>
      <c r="U193" s="42"/>
      <c r="V193" s="42"/>
      <c r="W193" s="45"/>
    </row>
    <row r="194" spans="1:23" x14ac:dyDescent="0.25">
      <c r="D194" s="42"/>
      <c r="E194" s="42"/>
      <c r="F194" s="42"/>
      <c r="G194" s="42"/>
      <c r="H194" s="42"/>
      <c r="I194" s="42"/>
      <c r="J194" s="42"/>
      <c r="K194" s="42"/>
      <c r="L194" s="42"/>
      <c r="M194" s="42"/>
      <c r="N194" s="42"/>
      <c r="S194" s="42"/>
      <c r="T194" s="42"/>
      <c r="U194" s="42"/>
      <c r="V194" s="42"/>
      <c r="W194" s="42"/>
    </row>
    <row r="195" spans="1:23" x14ac:dyDescent="0.25">
      <c r="A195" s="85"/>
      <c r="B195" s="3"/>
      <c r="C195" s="3"/>
      <c r="D195" s="3"/>
      <c r="E195" s="2" t="s">
        <v>42</v>
      </c>
      <c r="F195" s="3"/>
      <c r="G195" s="3"/>
      <c r="H195" s="3"/>
      <c r="I195" s="86">
        <f>'Original Formula'!$B$83</f>
        <v>6.756506378150271</v>
      </c>
      <c r="J195" s="3"/>
      <c r="K195" s="3"/>
      <c r="L195" s="3"/>
      <c r="M195" s="3"/>
      <c r="N195" s="3"/>
      <c r="O195" s="3"/>
      <c r="P195" s="3"/>
      <c r="Q195" s="3"/>
      <c r="R195" s="3"/>
      <c r="S195" s="3"/>
      <c r="T195" s="3"/>
      <c r="U195" s="3"/>
      <c r="V195" s="3"/>
      <c r="W195" s="54"/>
    </row>
    <row r="196" spans="1:23" x14ac:dyDescent="0.25">
      <c r="A196" s="121" t="s">
        <v>81</v>
      </c>
      <c r="B196" s="3"/>
      <c r="C196" s="3"/>
      <c r="D196" s="3"/>
      <c r="E196" s="3"/>
      <c r="F196" s="3"/>
      <c r="G196" s="3"/>
      <c r="H196" s="3"/>
      <c r="I196" s="3"/>
      <c r="J196" s="3"/>
      <c r="K196" s="3"/>
      <c r="L196" s="3"/>
      <c r="M196" s="3"/>
      <c r="N196" s="3"/>
      <c r="O196" s="3"/>
      <c r="P196" s="3"/>
      <c r="Q196" s="3"/>
      <c r="R196" s="3"/>
      <c r="S196" s="3"/>
      <c r="T196" s="3"/>
      <c r="U196" s="3"/>
      <c r="V196" s="3"/>
      <c r="W196" s="55"/>
    </row>
    <row r="197" spans="1:23" x14ac:dyDescent="0.25">
      <c r="A197" s="112" t="s">
        <v>88</v>
      </c>
      <c r="B197" s="121" t="s">
        <v>67</v>
      </c>
      <c r="C197" s="88"/>
      <c r="D197" s="3"/>
      <c r="E197" s="3"/>
      <c r="F197" s="3"/>
      <c r="G197" s="3"/>
      <c r="H197" s="3"/>
      <c r="I197" s="3"/>
      <c r="J197" s="3"/>
      <c r="K197" s="3"/>
      <c r="L197" s="3"/>
      <c r="M197" s="3"/>
      <c r="N197" s="3"/>
      <c r="O197" s="3"/>
      <c r="P197" s="3"/>
      <c r="Q197" s="3"/>
      <c r="R197" s="3"/>
      <c r="S197" s="3"/>
      <c r="T197" s="3"/>
      <c r="U197" s="3"/>
      <c r="V197" s="3"/>
      <c r="W197" s="55"/>
    </row>
    <row r="198" spans="1:23" x14ac:dyDescent="0.25">
      <c r="A198" s="89" t="s">
        <v>44</v>
      </c>
      <c r="B198" s="90">
        <f>(J152-B152)/50</f>
        <v>1.7257725669166728E-4</v>
      </c>
      <c r="C198" s="88">
        <f t="shared" ref="C198:C211" si="46">LN(B198)</f>
        <v>-8.6646655568751694</v>
      </c>
      <c r="D198" s="3"/>
      <c r="E198" s="3"/>
      <c r="F198" s="3"/>
      <c r="G198" s="3"/>
      <c r="H198" s="3"/>
      <c r="I198" s="3"/>
      <c r="J198" s="3"/>
      <c r="K198" s="3"/>
      <c r="L198" s="3"/>
      <c r="M198" s="3"/>
      <c r="N198" s="3"/>
      <c r="O198" s="3"/>
      <c r="P198" s="3"/>
      <c r="Q198" s="3"/>
      <c r="R198" s="3"/>
      <c r="S198" s="3"/>
      <c r="T198" s="3"/>
      <c r="U198" s="3"/>
      <c r="V198" s="3"/>
      <c r="W198" s="52"/>
    </row>
    <row r="199" spans="1:23" ht="15" x14ac:dyDescent="0.2">
      <c r="A199" s="89" t="s">
        <v>45</v>
      </c>
      <c r="B199" s="90">
        <f t="shared" ref="B199:B211" si="47">(J153-B153)/50</f>
        <v>2.1572157086458408E-4</v>
      </c>
      <c r="C199" s="88">
        <f t="shared" si="46"/>
        <v>-8.4415220055609606</v>
      </c>
      <c r="D199" s="3"/>
      <c r="E199" s="3"/>
      <c r="F199" s="3"/>
      <c r="G199" s="3"/>
      <c r="H199" s="3"/>
      <c r="I199" s="3"/>
      <c r="J199" s="3"/>
      <c r="K199" s="3"/>
      <c r="L199" s="3"/>
      <c r="M199" s="3"/>
      <c r="N199" s="3"/>
      <c r="O199" s="3"/>
      <c r="P199" s="3"/>
      <c r="Q199" s="3"/>
      <c r="R199" s="3"/>
      <c r="S199" s="3"/>
      <c r="T199" s="3"/>
      <c r="U199" s="3"/>
      <c r="V199" s="3"/>
      <c r="W199" s="55"/>
    </row>
    <row r="200" spans="1:23" ht="15" x14ac:dyDescent="0.2">
      <c r="A200" s="89" t="s">
        <v>46</v>
      </c>
      <c r="B200" s="90">
        <f t="shared" si="47"/>
        <v>2.5886588503750091E-4</v>
      </c>
      <c r="C200" s="88">
        <f t="shared" si="46"/>
        <v>-8.2592004487670057</v>
      </c>
      <c r="D200" s="3"/>
      <c r="E200" s="3"/>
      <c r="F200" s="3"/>
      <c r="G200" s="3"/>
      <c r="H200" s="3"/>
      <c r="I200" s="3"/>
      <c r="J200" s="3"/>
      <c r="K200" s="3"/>
      <c r="L200" s="3"/>
      <c r="M200" s="3"/>
      <c r="N200" s="3"/>
      <c r="O200" s="3"/>
      <c r="P200" s="3"/>
      <c r="Q200" s="3"/>
      <c r="R200" s="3"/>
      <c r="S200" s="3"/>
      <c r="T200" s="3"/>
      <c r="U200" s="3"/>
      <c r="V200" s="3"/>
      <c r="W200" s="55"/>
    </row>
    <row r="201" spans="1:23" ht="15" x14ac:dyDescent="0.2">
      <c r="A201" s="89" t="s">
        <v>47</v>
      </c>
      <c r="B201" s="90">
        <f t="shared" si="47"/>
        <v>3.2488801399869116E-4</v>
      </c>
      <c r="C201" s="88">
        <f t="shared" si="46"/>
        <v>-8.032030007324936</v>
      </c>
      <c r="D201" s="3"/>
      <c r="E201" s="3"/>
      <c r="F201" s="3"/>
      <c r="G201" s="3"/>
      <c r="H201" s="3"/>
      <c r="I201" s="3"/>
      <c r="J201" s="3"/>
      <c r="K201" s="3"/>
      <c r="L201" s="3"/>
      <c r="M201" s="3"/>
      <c r="N201" s="3"/>
      <c r="O201" s="3"/>
      <c r="P201" s="3"/>
      <c r="Q201" s="3"/>
      <c r="R201" s="3"/>
      <c r="S201" s="3"/>
      <c r="T201" s="3"/>
      <c r="U201" s="3"/>
      <c r="V201" s="3"/>
      <c r="W201" s="55"/>
    </row>
    <row r="202" spans="1:23" x14ac:dyDescent="0.25">
      <c r="A202" s="89" t="s">
        <v>8</v>
      </c>
      <c r="B202" s="90">
        <f t="shared" si="47"/>
        <v>4.5484321959816769E-4</v>
      </c>
      <c r="C202" s="88">
        <f t="shared" si="46"/>
        <v>-7.695557770703723</v>
      </c>
      <c r="D202" s="3"/>
      <c r="E202" s="3"/>
      <c r="F202" s="3"/>
      <c r="G202" s="3"/>
      <c r="H202" s="3"/>
      <c r="I202" s="3"/>
      <c r="J202" s="3"/>
      <c r="K202" s="3"/>
      <c r="L202" s="3"/>
      <c r="M202" s="3"/>
      <c r="N202" s="3"/>
      <c r="O202" s="3"/>
      <c r="P202" s="3"/>
      <c r="Q202" s="3"/>
      <c r="R202" s="3"/>
      <c r="S202" s="3"/>
      <c r="T202" s="3"/>
      <c r="U202" s="3"/>
      <c r="V202" s="3"/>
      <c r="W202" s="52"/>
    </row>
    <row r="203" spans="1:23" ht="15" x14ac:dyDescent="0.2">
      <c r="A203" s="89" t="s">
        <v>9</v>
      </c>
      <c r="B203" s="90">
        <f t="shared" si="47"/>
        <v>5.685540244977095E-4</v>
      </c>
      <c r="C203" s="88">
        <f t="shared" si="46"/>
        <v>-7.4724142193895133</v>
      </c>
      <c r="D203" s="3"/>
      <c r="E203" s="3"/>
      <c r="F203" s="3"/>
      <c r="G203" s="3"/>
      <c r="H203" s="3"/>
      <c r="I203" s="3"/>
      <c r="J203" s="3"/>
      <c r="K203" s="3"/>
      <c r="L203" s="3"/>
      <c r="M203" s="3"/>
      <c r="N203" s="3"/>
      <c r="O203" s="3"/>
      <c r="P203" s="3"/>
      <c r="Q203" s="3"/>
      <c r="R203" s="3"/>
      <c r="S203" s="3"/>
      <c r="T203" s="3"/>
      <c r="U203" s="3"/>
      <c r="V203" s="3"/>
      <c r="W203" s="55"/>
    </row>
    <row r="204" spans="1:23" ht="15" x14ac:dyDescent="0.2">
      <c r="A204" s="89" t="s">
        <v>10</v>
      </c>
      <c r="B204" s="90">
        <f t="shared" si="47"/>
        <v>5.5155242834350007E-4</v>
      </c>
      <c r="C204" s="88">
        <f t="shared" si="46"/>
        <v>-7.50277365879636</v>
      </c>
      <c r="D204" s="3"/>
      <c r="E204" s="3"/>
      <c r="F204" s="3"/>
      <c r="G204" s="3"/>
      <c r="H204" s="3"/>
      <c r="I204" s="3"/>
      <c r="J204" s="3"/>
      <c r="K204" s="3"/>
      <c r="L204" s="3"/>
      <c r="M204" s="3"/>
      <c r="N204" s="3"/>
      <c r="O204" s="3"/>
      <c r="P204" s="3"/>
      <c r="Q204" s="3"/>
      <c r="R204" s="3"/>
      <c r="S204" s="3"/>
      <c r="T204" s="3"/>
      <c r="U204" s="3"/>
      <c r="V204" s="3"/>
      <c r="W204" s="55"/>
    </row>
    <row r="205" spans="1:23" ht="15" x14ac:dyDescent="0.2">
      <c r="A205" s="89" t="s">
        <v>11</v>
      </c>
      <c r="B205" s="90">
        <f t="shared" si="47"/>
        <v>8.2732864251524999E-4</v>
      </c>
      <c r="C205" s="88">
        <f t="shared" si="46"/>
        <v>-7.0973085506881954</v>
      </c>
      <c r="D205" s="3"/>
      <c r="E205" s="3"/>
      <c r="F205" s="3"/>
      <c r="G205" s="3"/>
      <c r="H205" s="3"/>
      <c r="I205" s="3"/>
      <c r="J205" s="3"/>
      <c r="K205" s="3"/>
      <c r="L205" s="3"/>
      <c r="M205" s="3"/>
      <c r="N205" s="3"/>
      <c r="O205" s="3"/>
      <c r="P205" s="3"/>
      <c r="Q205" s="3"/>
      <c r="R205" s="3"/>
      <c r="S205" s="3"/>
      <c r="T205" s="3"/>
      <c r="U205" s="3"/>
      <c r="V205" s="3"/>
      <c r="W205" s="55"/>
    </row>
    <row r="206" spans="1:23" ht="15" x14ac:dyDescent="0.2">
      <c r="A206" s="89" t="s">
        <v>12</v>
      </c>
      <c r="B206" s="90">
        <f t="shared" si="47"/>
        <v>1.461461526150395E-3</v>
      </c>
      <c r="C206" s="88">
        <f t="shared" si="46"/>
        <v>-6.5283182986651278</v>
      </c>
      <c r="D206" s="3"/>
      <c r="E206" s="3"/>
      <c r="F206" s="3"/>
      <c r="G206" s="3"/>
      <c r="H206" s="3"/>
      <c r="I206" s="3"/>
      <c r="J206" s="3"/>
      <c r="K206" s="3"/>
      <c r="L206" s="3"/>
      <c r="M206" s="3"/>
      <c r="N206" s="3"/>
      <c r="O206" s="3"/>
      <c r="P206" s="3"/>
      <c r="Q206" s="3"/>
      <c r="R206" s="3"/>
      <c r="S206" s="3"/>
      <c r="T206" s="3"/>
      <c r="U206" s="3"/>
      <c r="V206" s="3"/>
      <c r="W206" s="53"/>
    </row>
    <row r="207" spans="1:23" ht="15" x14ac:dyDescent="0.2">
      <c r="A207" s="89" t="s">
        <v>13</v>
      </c>
      <c r="B207" s="90">
        <f t="shared" si="47"/>
        <v>2.9229230523007891E-3</v>
      </c>
      <c r="C207" s="88">
        <f t="shared" si="46"/>
        <v>-5.8351711181051833</v>
      </c>
      <c r="D207" s="3"/>
      <c r="E207" s="3"/>
      <c r="F207" s="3"/>
      <c r="G207" s="3"/>
      <c r="H207" s="3"/>
      <c r="I207" s="3"/>
      <c r="J207" s="3"/>
      <c r="K207" s="3"/>
      <c r="L207" s="3"/>
      <c r="M207" s="3"/>
      <c r="N207" s="3"/>
      <c r="O207" s="3"/>
      <c r="P207" s="3"/>
      <c r="Q207" s="3"/>
      <c r="R207" s="3"/>
      <c r="S207" s="3"/>
      <c r="T207" s="3"/>
      <c r="U207" s="3"/>
      <c r="V207" s="3"/>
      <c r="W207" s="53"/>
    </row>
    <row r="208" spans="1:23" ht="15" x14ac:dyDescent="0.2">
      <c r="A208" s="89" t="s">
        <v>14</v>
      </c>
      <c r="B208" s="90">
        <f t="shared" si="47"/>
        <v>3.4537961337758783E-3</v>
      </c>
      <c r="C208" s="88">
        <f t="shared" si="46"/>
        <v>-5.6682813242260286</v>
      </c>
      <c r="D208" s="3"/>
      <c r="E208" s="3"/>
      <c r="F208" s="3"/>
      <c r="G208" s="3"/>
      <c r="H208" s="3"/>
      <c r="I208" s="3"/>
      <c r="J208" s="3"/>
      <c r="K208" s="3"/>
      <c r="L208" s="3"/>
      <c r="M208" s="3"/>
      <c r="N208" s="3"/>
      <c r="O208" s="3"/>
      <c r="P208" s="3"/>
      <c r="Q208" s="3"/>
      <c r="R208" s="3"/>
      <c r="S208" s="3"/>
      <c r="T208" s="3"/>
      <c r="U208" s="3"/>
      <c r="V208" s="3"/>
      <c r="W208" s="56"/>
    </row>
    <row r="209" spans="1:23" ht="15" x14ac:dyDescent="0.2">
      <c r="A209" s="89" t="s">
        <v>15</v>
      </c>
      <c r="B209" s="90">
        <f t="shared" si="47"/>
        <v>4.6050615117011707E-3</v>
      </c>
      <c r="C209" s="88">
        <f t="shared" si="46"/>
        <v>-5.3805992517742478</v>
      </c>
      <c r="D209" s="3"/>
      <c r="E209" s="3"/>
      <c r="F209" s="3"/>
      <c r="G209" s="3"/>
      <c r="H209" s="3"/>
      <c r="I209" s="3"/>
      <c r="J209" s="3"/>
      <c r="K209" s="3"/>
      <c r="L209" s="3"/>
      <c r="M209" s="3"/>
      <c r="N209" s="3"/>
      <c r="O209" s="3"/>
      <c r="P209" s="3"/>
      <c r="Q209" s="3"/>
      <c r="R209" s="3"/>
      <c r="S209" s="3"/>
      <c r="T209" s="3"/>
      <c r="U209" s="3"/>
      <c r="V209" s="3"/>
      <c r="W209" s="56"/>
    </row>
    <row r="210" spans="1:23" ht="15" x14ac:dyDescent="0.2">
      <c r="A210" s="89" t="s">
        <v>16</v>
      </c>
      <c r="B210" s="90">
        <f t="shared" si="47"/>
        <v>6.9075922675517565E-3</v>
      </c>
      <c r="C210" s="88">
        <f t="shared" si="46"/>
        <v>-4.9751341436660832</v>
      </c>
      <c r="D210" s="3"/>
      <c r="E210" s="3"/>
      <c r="F210" s="3"/>
      <c r="G210" s="3"/>
      <c r="H210" s="3"/>
      <c r="I210" s="3"/>
      <c r="J210" s="3"/>
      <c r="K210" s="3"/>
      <c r="L210" s="3"/>
      <c r="M210" s="3"/>
      <c r="N210" s="3"/>
      <c r="O210" s="3"/>
      <c r="P210" s="3"/>
      <c r="Q210" s="3"/>
      <c r="R210" s="3"/>
      <c r="S210" s="3"/>
      <c r="T210" s="3"/>
      <c r="U210" s="3"/>
      <c r="V210" s="3"/>
      <c r="W210" s="55"/>
    </row>
    <row r="211" spans="1:23" ht="15" x14ac:dyDescent="0.2">
      <c r="A211" s="89" t="s">
        <v>17</v>
      </c>
      <c r="B211" s="90">
        <f t="shared" si="47"/>
        <v>1.1816607719102423E-2</v>
      </c>
      <c r="C211" s="88">
        <f t="shared" si="46"/>
        <v>-4.4382493031949259</v>
      </c>
      <c r="D211" s="3"/>
      <c r="E211" s="3"/>
      <c r="F211" s="3"/>
      <c r="G211" s="3"/>
      <c r="H211" s="3"/>
      <c r="I211" s="3"/>
      <c r="J211" s="3"/>
      <c r="K211" s="3"/>
      <c r="L211" s="3"/>
      <c r="M211" s="3"/>
      <c r="N211" s="3"/>
      <c r="O211" s="3"/>
      <c r="P211" s="3"/>
      <c r="Q211" s="3"/>
      <c r="R211" s="3"/>
      <c r="S211" s="3"/>
      <c r="T211" s="3"/>
      <c r="U211" s="3"/>
      <c r="V211" s="3"/>
      <c r="W211" s="57"/>
    </row>
    <row r="212" spans="1:23" x14ac:dyDescent="0.25">
      <c r="A212" s="91"/>
      <c r="B212" s="92"/>
      <c r="C212" s="4"/>
      <c r="D212" s="3"/>
      <c r="E212" s="3"/>
      <c r="F212" s="3"/>
      <c r="G212" s="3"/>
      <c r="H212" s="3"/>
      <c r="I212" s="3"/>
      <c r="J212" s="3"/>
      <c r="K212" s="3"/>
      <c r="L212" s="3"/>
      <c r="M212" s="3"/>
      <c r="N212" s="3"/>
      <c r="O212" s="3"/>
      <c r="P212" s="3"/>
      <c r="Q212" s="3"/>
      <c r="R212" s="3"/>
      <c r="S212" s="3"/>
      <c r="T212" s="3"/>
      <c r="U212" s="3"/>
      <c r="V212" s="3"/>
      <c r="W212" s="22"/>
    </row>
    <row r="213" spans="1:23" ht="16.5" thickBot="1" x14ac:dyDescent="0.3">
      <c r="A213" s="91"/>
      <c r="B213" s="92"/>
      <c r="C213" s="4"/>
      <c r="D213" s="3"/>
      <c r="E213" s="3"/>
      <c r="F213" s="3"/>
      <c r="G213" s="3"/>
      <c r="H213" s="3"/>
      <c r="I213" s="3"/>
      <c r="J213" s="3"/>
      <c r="K213" s="3"/>
      <c r="L213" s="3"/>
      <c r="M213" s="3"/>
      <c r="N213" s="3"/>
      <c r="O213" s="3"/>
      <c r="P213" s="3"/>
      <c r="Q213" s="3"/>
      <c r="R213" s="3"/>
      <c r="S213" s="3"/>
      <c r="T213" s="3"/>
      <c r="U213" s="3"/>
      <c r="V213" s="3"/>
      <c r="W213" s="22"/>
    </row>
    <row r="214" spans="1:23" ht="16.5" thickBot="1" x14ac:dyDescent="0.3">
      <c r="A214" s="91"/>
      <c r="B214" s="92"/>
      <c r="C214" s="4"/>
      <c r="D214" s="3"/>
      <c r="E214" s="3"/>
      <c r="F214" s="3"/>
      <c r="G214" s="3"/>
      <c r="H214" s="3"/>
      <c r="I214" s="3"/>
      <c r="J214" s="93" t="s">
        <v>54</v>
      </c>
      <c r="K214" s="3"/>
      <c r="L214" s="96">
        <v>-0.83399999999999996</v>
      </c>
      <c r="M214" s="97"/>
      <c r="O214" s="3"/>
      <c r="P214" s="3"/>
      <c r="Q214" s="3"/>
      <c r="R214" s="3"/>
      <c r="S214" s="3"/>
      <c r="T214" s="3"/>
      <c r="U214" s="3"/>
      <c r="V214" s="3"/>
      <c r="W214" s="22"/>
    </row>
    <row r="215" spans="1:23" ht="16.5" thickBot="1" x14ac:dyDescent="0.3">
      <c r="A215" s="91"/>
      <c r="B215" s="92"/>
      <c r="C215" s="4"/>
      <c r="D215" s="3"/>
      <c r="E215" s="3"/>
      <c r="F215" s="3"/>
      <c r="G215" s="3"/>
      <c r="H215" s="3"/>
      <c r="I215" s="3"/>
      <c r="J215" s="93" t="s">
        <v>55</v>
      </c>
      <c r="K215" s="3"/>
      <c r="L215" s="3"/>
      <c r="M215" s="3"/>
      <c r="N215" s="3"/>
      <c r="O215" s="3"/>
      <c r="P215" s="3"/>
      <c r="Q215" s="3"/>
      <c r="R215" s="3"/>
      <c r="S215" s="3"/>
      <c r="T215" s="3"/>
      <c r="U215" s="3"/>
      <c r="V215" s="3"/>
      <c r="W215" s="22"/>
    </row>
    <row r="216" spans="1:23" ht="16.5" thickBot="1" x14ac:dyDescent="0.3">
      <c r="A216" s="91"/>
      <c r="B216" s="92"/>
      <c r="C216" s="4"/>
      <c r="D216" s="3"/>
      <c r="E216" s="3"/>
      <c r="F216" s="3"/>
      <c r="G216" s="3"/>
      <c r="H216" s="3"/>
      <c r="I216" s="3"/>
      <c r="J216" s="85" t="s">
        <v>56</v>
      </c>
      <c r="K216" s="3"/>
      <c r="L216" s="194">
        <f>EXP(7.1228)</f>
        <v>1239.9173460919649</v>
      </c>
      <c r="M216" s="97" t="s">
        <v>43</v>
      </c>
      <c r="O216" s="3"/>
      <c r="P216" s="3"/>
      <c r="Q216" s="3"/>
      <c r="R216" s="3"/>
      <c r="S216" s="3"/>
      <c r="T216" s="3"/>
      <c r="U216" s="3"/>
      <c r="V216" s="3"/>
      <c r="W216" s="8"/>
    </row>
    <row r="217" spans="1:23" x14ac:dyDescent="0.25">
      <c r="A217" s="91"/>
      <c r="B217" s="92"/>
      <c r="C217" s="4"/>
      <c r="D217" s="3"/>
      <c r="E217" s="3"/>
      <c r="F217" s="3"/>
      <c r="G217" s="3"/>
      <c r="H217" s="3"/>
      <c r="I217" s="3"/>
      <c r="J217" s="3"/>
      <c r="K217" s="3"/>
      <c r="L217" s="3"/>
      <c r="M217" s="3"/>
      <c r="N217" s="3"/>
      <c r="O217" s="3"/>
      <c r="P217" s="3"/>
      <c r="Q217" s="3"/>
      <c r="R217" s="3"/>
      <c r="S217" s="3"/>
      <c r="T217" s="3"/>
      <c r="U217" s="3"/>
      <c r="V217" s="3"/>
      <c r="W217" s="8"/>
    </row>
    <row r="218" spans="1:23" x14ac:dyDescent="0.25">
      <c r="A218" s="91"/>
      <c r="B218" s="92"/>
      <c r="C218" s="4"/>
      <c r="D218" s="3"/>
      <c r="E218" s="3"/>
      <c r="F218" s="3"/>
      <c r="G218" s="3"/>
      <c r="H218" s="3"/>
      <c r="I218" s="3"/>
      <c r="J218" s="3"/>
      <c r="K218" s="3"/>
      <c r="L218" s="3"/>
      <c r="M218" s="3"/>
      <c r="N218" s="3"/>
      <c r="O218" s="3"/>
      <c r="P218" s="3"/>
      <c r="Q218" s="3"/>
      <c r="R218" s="3"/>
      <c r="S218" s="3"/>
      <c r="T218" s="3"/>
      <c r="U218" s="3"/>
      <c r="V218" s="3"/>
      <c r="W218" s="8"/>
    </row>
    <row r="219" spans="1:23" x14ac:dyDescent="0.25">
      <c r="A219" s="91"/>
      <c r="B219" s="92"/>
      <c r="C219" s="4"/>
      <c r="D219" s="3"/>
      <c r="E219" s="3"/>
      <c r="F219" s="3"/>
      <c r="G219" s="3"/>
      <c r="H219" s="3"/>
      <c r="I219" s="3"/>
      <c r="J219" s="3"/>
      <c r="K219" s="3"/>
      <c r="L219" s="3"/>
      <c r="M219" s="3"/>
      <c r="N219" s="3"/>
      <c r="O219" s="3"/>
      <c r="P219" s="3"/>
      <c r="Q219" s="3"/>
      <c r="R219" s="3"/>
      <c r="S219" s="3"/>
      <c r="T219" s="3"/>
      <c r="U219" s="3"/>
      <c r="V219" s="3"/>
      <c r="W219" s="8"/>
    </row>
    <row r="220" spans="1:23" x14ac:dyDescent="0.25">
      <c r="A220" s="91"/>
      <c r="B220" s="92"/>
      <c r="C220" s="4"/>
      <c r="D220" s="3"/>
      <c r="E220" s="3"/>
      <c r="F220" s="3"/>
      <c r="G220" s="3"/>
      <c r="H220" s="3"/>
      <c r="I220" s="3"/>
      <c r="J220" s="3"/>
      <c r="K220" s="3"/>
      <c r="L220" s="3"/>
      <c r="M220" s="3"/>
      <c r="N220" s="3"/>
      <c r="O220" s="3"/>
      <c r="P220" s="3"/>
      <c r="Q220" s="3"/>
      <c r="R220" s="3"/>
      <c r="S220" s="3"/>
      <c r="T220" s="3"/>
      <c r="U220" s="3"/>
      <c r="V220" s="3"/>
      <c r="W220" s="8"/>
    </row>
    <row r="221" spans="1:23" x14ac:dyDescent="0.25">
      <c r="A221" s="91"/>
      <c r="B221" s="92"/>
      <c r="C221" s="4"/>
      <c r="D221" s="3"/>
      <c r="E221" s="3"/>
      <c r="F221" s="3"/>
      <c r="G221" s="3"/>
      <c r="H221" s="3"/>
      <c r="I221" s="3"/>
      <c r="J221" s="3"/>
      <c r="K221" s="3"/>
      <c r="L221" s="3"/>
      <c r="M221" s="3"/>
      <c r="N221" s="3"/>
      <c r="O221" s="3"/>
      <c r="P221" s="3"/>
      <c r="Q221" s="3"/>
      <c r="R221" s="3"/>
      <c r="S221" s="3"/>
      <c r="T221" s="3"/>
      <c r="U221" s="3"/>
      <c r="V221" s="3"/>
      <c r="W221" s="8"/>
    </row>
    <row r="222" spans="1:23" x14ac:dyDescent="0.25">
      <c r="A222" s="16" t="s">
        <v>74</v>
      </c>
      <c r="B222" s="92"/>
      <c r="C222" s="4"/>
      <c r="D222" s="3"/>
      <c r="E222" s="3"/>
      <c r="F222" s="3"/>
      <c r="G222" s="3"/>
      <c r="H222" s="3"/>
      <c r="I222" s="3"/>
      <c r="J222" s="3"/>
      <c r="K222" s="3"/>
      <c r="L222" s="3"/>
      <c r="M222" s="3"/>
      <c r="N222" s="3"/>
      <c r="O222" s="3"/>
      <c r="P222" s="3"/>
      <c r="Q222" s="3"/>
      <c r="R222" s="3"/>
      <c r="S222" s="3"/>
      <c r="T222" s="3"/>
      <c r="U222" s="3"/>
      <c r="V222" s="3"/>
      <c r="W222" s="8"/>
    </row>
    <row r="223" spans="1:23" x14ac:dyDescent="0.25">
      <c r="A223" s="91"/>
      <c r="B223" s="92"/>
      <c r="J223" s="3"/>
      <c r="K223" s="3"/>
      <c r="L223" s="3"/>
      <c r="M223" s="3"/>
      <c r="N223" s="3"/>
      <c r="O223" s="3"/>
      <c r="P223" s="3"/>
      <c r="Q223" s="3"/>
      <c r="R223" s="3"/>
      <c r="S223" s="3"/>
      <c r="T223" s="3"/>
      <c r="U223" s="3"/>
      <c r="V223" s="3"/>
      <c r="W223" s="8"/>
    </row>
    <row r="224" spans="1:23" ht="16.5" thickBot="1" x14ac:dyDescent="0.3">
      <c r="A224" s="91"/>
      <c r="B224" s="92"/>
      <c r="J224" s="3"/>
      <c r="K224" s="3"/>
      <c r="L224" s="3"/>
      <c r="M224" s="3"/>
      <c r="N224" s="3"/>
      <c r="O224" s="3"/>
      <c r="P224" s="3"/>
      <c r="Q224" s="3"/>
      <c r="R224" s="3"/>
      <c r="S224" s="3"/>
      <c r="T224" s="3"/>
      <c r="U224" s="3"/>
      <c r="V224" s="3"/>
      <c r="W224" s="8"/>
    </row>
    <row r="225" spans="1:23" x14ac:dyDescent="0.25">
      <c r="A225" s="91"/>
      <c r="B225" s="92"/>
      <c r="E225" s="122"/>
      <c r="F225" s="123"/>
      <c r="G225" s="123"/>
      <c r="H225" s="123"/>
      <c r="I225" s="123"/>
      <c r="J225" s="123"/>
      <c r="K225" s="124"/>
      <c r="L225" s="3"/>
      <c r="M225" s="3"/>
      <c r="N225" s="3"/>
      <c r="O225" s="3"/>
      <c r="P225" s="3"/>
      <c r="Q225" s="3"/>
      <c r="R225" s="3"/>
      <c r="S225" s="3"/>
      <c r="T225" s="3"/>
      <c r="U225" s="3"/>
      <c r="V225" s="3"/>
      <c r="W225" s="8"/>
    </row>
    <row r="226" spans="1:23" x14ac:dyDescent="0.25">
      <c r="E226" s="125"/>
      <c r="F226" s="55"/>
      <c r="G226" s="55"/>
      <c r="H226" s="55"/>
      <c r="I226" s="55"/>
      <c r="J226" s="55"/>
      <c r="K226" s="126"/>
      <c r="L226" s="3"/>
      <c r="M226" s="3"/>
      <c r="S226" s="3"/>
      <c r="T226" s="3"/>
      <c r="U226" s="3"/>
      <c r="V226" s="3"/>
      <c r="W226" s="8"/>
    </row>
    <row r="227" spans="1:23" x14ac:dyDescent="0.25">
      <c r="E227" s="125"/>
      <c r="F227" s="55"/>
      <c r="G227" s="55"/>
      <c r="H227" s="55"/>
      <c r="I227" s="55"/>
      <c r="J227" s="55"/>
      <c r="K227" s="126"/>
      <c r="L227" s="3"/>
      <c r="M227" s="3"/>
      <c r="S227" s="3"/>
      <c r="T227" s="3"/>
      <c r="U227" s="3"/>
      <c r="V227" s="3"/>
      <c r="W227" s="8"/>
    </row>
    <row r="228" spans="1:23" ht="39.75" x14ac:dyDescent="0.45">
      <c r="E228" s="58"/>
      <c r="F228" s="127" t="s">
        <v>149</v>
      </c>
      <c r="G228" s="127"/>
      <c r="H228" s="127"/>
      <c r="I228" s="55"/>
      <c r="J228" s="55"/>
      <c r="K228" s="126"/>
      <c r="L228" s="3"/>
      <c r="M228" s="3"/>
      <c r="S228" s="3"/>
      <c r="T228" s="3"/>
      <c r="U228" s="3"/>
      <c r="V228" s="3"/>
      <c r="W228" s="8"/>
    </row>
    <row r="229" spans="1:23" ht="34.5" x14ac:dyDescent="0.45">
      <c r="E229" s="58"/>
      <c r="F229" s="127"/>
      <c r="G229" s="127"/>
      <c r="H229" s="127"/>
      <c r="I229" s="55"/>
      <c r="J229" s="55"/>
      <c r="K229" s="126"/>
      <c r="L229" s="3"/>
      <c r="M229" s="3"/>
      <c r="N229" s="3"/>
      <c r="O229" s="3"/>
      <c r="P229" s="3"/>
      <c r="Q229" s="3"/>
      <c r="R229" s="3"/>
      <c r="S229" s="3"/>
      <c r="T229" s="3"/>
      <c r="U229" s="3"/>
      <c r="V229" s="3"/>
      <c r="W229" s="8"/>
    </row>
    <row r="230" spans="1:23" x14ac:dyDescent="0.25">
      <c r="E230" s="58"/>
      <c r="F230" s="55"/>
      <c r="G230" s="55"/>
      <c r="H230" s="55"/>
      <c r="I230" s="55"/>
      <c r="J230" s="55"/>
      <c r="K230" s="126"/>
      <c r="L230" s="3"/>
      <c r="M230" s="3"/>
      <c r="N230" s="3"/>
      <c r="O230" s="3"/>
      <c r="P230" s="3"/>
      <c r="Q230" s="3"/>
      <c r="R230" s="3"/>
      <c r="S230" s="3"/>
      <c r="T230" s="3"/>
      <c r="U230" s="3"/>
      <c r="V230" s="3"/>
      <c r="W230" s="1"/>
    </row>
    <row r="231" spans="1:23" x14ac:dyDescent="0.25">
      <c r="D231" s="3"/>
      <c r="E231" s="58"/>
      <c r="F231" s="55"/>
      <c r="G231" s="55"/>
      <c r="H231" s="55"/>
      <c r="I231" s="55"/>
      <c r="J231" s="55"/>
      <c r="K231" s="126"/>
      <c r="L231" s="3"/>
      <c r="M231" s="3"/>
      <c r="N231" s="3"/>
      <c r="O231" s="3"/>
      <c r="P231" s="3"/>
      <c r="Q231" s="3"/>
      <c r="R231" s="3"/>
      <c r="S231" s="3"/>
      <c r="T231" s="3"/>
      <c r="U231" s="3"/>
      <c r="V231" s="3"/>
      <c r="W231" s="3"/>
    </row>
    <row r="232" spans="1:23" ht="16.5" thickBot="1" x14ac:dyDescent="0.3">
      <c r="E232" s="60"/>
      <c r="F232" s="128"/>
      <c r="G232" s="128"/>
      <c r="H232" s="128"/>
      <c r="I232" s="128"/>
      <c r="J232" s="128"/>
      <c r="K232" s="129"/>
    </row>
    <row r="234" spans="1:23" x14ac:dyDescent="0.25">
      <c r="F234" s="25"/>
      <c r="G234" s="25"/>
    </row>
    <row r="235" spans="1:23" x14ac:dyDescent="0.25">
      <c r="F235" s="25"/>
      <c r="G235" s="25"/>
    </row>
    <row r="236" spans="1:23" x14ac:dyDescent="0.25">
      <c r="F236" s="25"/>
      <c r="G236" s="25"/>
    </row>
    <row r="237" spans="1:23" x14ac:dyDescent="0.25">
      <c r="F237" s="25"/>
      <c r="G237" s="25"/>
    </row>
    <row r="238" spans="1:23" x14ac:dyDescent="0.25">
      <c r="F238" s="25"/>
      <c r="G238" s="25"/>
    </row>
    <row r="239" spans="1:23" x14ac:dyDescent="0.25">
      <c r="F239" s="25"/>
      <c r="G239" s="25"/>
    </row>
    <row r="240" spans="1:23" x14ac:dyDescent="0.25">
      <c r="F240" s="25"/>
      <c r="G240" s="25"/>
    </row>
    <row r="241" spans="6:7" x14ac:dyDescent="0.25">
      <c r="F241" s="25"/>
      <c r="G241" s="25"/>
    </row>
    <row r="242" spans="6:7" x14ac:dyDescent="0.25">
      <c r="F242" s="25"/>
      <c r="G242" s="25"/>
    </row>
    <row r="243" spans="6:7" x14ac:dyDescent="0.25">
      <c r="F243" s="25"/>
      <c r="G243" s="25"/>
    </row>
  </sheetData>
  <phoneticPr fontId="0" type="noConversion"/>
  <printOptions horizontalCentered="1"/>
  <pageMargins left="0.19685039370078741" right="0.27559055118110237" top="0.19685039370078741" bottom="0.23622047244094491" header="0.51181102362204722" footer="0.51181102362204722"/>
  <pageSetup paperSize="8" scale="31" orientation="portrait" r:id="rId1"/>
  <headerFooter alignWithMargins="0">
    <oddFooter>&amp;L&amp;D &amp;T&amp;RDJH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AX321"/>
  <sheetViews>
    <sheetView showGridLines="0" showOutlineSymbols="0" zoomScale="61" zoomScaleNormal="61" zoomScaleSheetLayoutView="33" workbookViewId="0">
      <selection activeCell="H45" sqref="H45"/>
    </sheetView>
  </sheetViews>
  <sheetFormatPr defaultColWidth="16" defaultRowHeight="15.75" x14ac:dyDescent="0.25"/>
  <cols>
    <col min="1" max="1" width="16.77734375" style="22" customWidth="1"/>
    <col min="2" max="2" width="15.44140625" style="18" customWidth="1"/>
    <col min="3" max="3" width="16.44140625" style="18" bestFit="1" customWidth="1"/>
    <col min="4" max="4" width="15.5546875" style="18" customWidth="1"/>
    <col min="5" max="5" width="18.109375" style="18" customWidth="1"/>
    <col min="6" max="6" width="15.5546875" style="18" customWidth="1"/>
    <col min="7" max="7" width="17.109375" style="18" customWidth="1"/>
    <col min="8" max="8" width="35.44140625" style="18" customWidth="1"/>
    <col min="9" max="9" width="15.21875" style="18" customWidth="1"/>
    <col min="10" max="10" width="16.5546875" style="18" customWidth="1"/>
    <col min="11" max="13" width="15.5546875" style="18" customWidth="1"/>
    <col min="14" max="16384" width="16" style="18"/>
  </cols>
  <sheetData>
    <row r="1" spans="1:41" s="32" customFormat="1" x14ac:dyDescent="0.25">
      <c r="A1" s="9"/>
      <c r="AE1" s="16"/>
    </row>
    <row r="3" spans="1:41" s="32" customFormat="1" x14ac:dyDescent="0.25">
      <c r="A3" s="9" t="s">
        <v>35</v>
      </c>
    </row>
    <row r="4" spans="1:41" x14ac:dyDescent="0.25">
      <c r="A4" s="8"/>
    </row>
    <row r="5" spans="1:41" x14ac:dyDescent="0.25">
      <c r="A5" s="8" t="s">
        <v>36</v>
      </c>
      <c r="B5" s="8" t="s">
        <v>29</v>
      </c>
      <c r="C5" s="8" t="s">
        <v>0</v>
      </c>
      <c r="D5" s="8" t="s">
        <v>1</v>
      </c>
      <c r="E5" s="8" t="s">
        <v>2</v>
      </c>
      <c r="F5" s="8" t="s">
        <v>3</v>
      </c>
      <c r="G5" s="8" t="s">
        <v>4</v>
      </c>
      <c r="H5" s="8" t="s">
        <v>5</v>
      </c>
      <c r="I5" s="8" t="s">
        <v>6</v>
      </c>
      <c r="J5" s="15" t="s">
        <v>7</v>
      </c>
      <c r="K5" s="15"/>
      <c r="L5" s="15"/>
      <c r="N5" s="8"/>
      <c r="AE5" s="15"/>
    </row>
    <row r="6" spans="1:41" x14ac:dyDescent="0.25">
      <c r="A6" s="108">
        <v>60</v>
      </c>
      <c r="B6" s="107">
        <f>A6*10830000</f>
        <v>649800000</v>
      </c>
      <c r="C6" s="109">
        <v>600</v>
      </c>
      <c r="D6" s="109">
        <v>915</v>
      </c>
      <c r="E6" s="109">
        <v>915</v>
      </c>
      <c r="F6" s="109">
        <v>915</v>
      </c>
      <c r="G6" s="109">
        <v>915</v>
      </c>
      <c r="H6" s="109">
        <v>915</v>
      </c>
      <c r="I6" s="109">
        <v>915</v>
      </c>
      <c r="J6" s="109">
        <v>915</v>
      </c>
      <c r="K6" s="29"/>
      <c r="L6" s="29"/>
      <c r="M6" s="29"/>
      <c r="N6" s="8"/>
      <c r="AE6" s="15"/>
    </row>
    <row r="7" spans="1:41" x14ac:dyDescent="0.25">
      <c r="A7" s="108">
        <v>50</v>
      </c>
      <c r="B7" s="107">
        <f>A7*10830000</f>
        <v>541500000</v>
      </c>
      <c r="C7" s="109">
        <v>600</v>
      </c>
      <c r="D7" s="109">
        <v>610</v>
      </c>
      <c r="E7" s="109">
        <v>915</v>
      </c>
      <c r="F7" s="109">
        <v>915</v>
      </c>
      <c r="G7" s="109">
        <v>915</v>
      </c>
      <c r="H7" s="109">
        <v>915</v>
      </c>
      <c r="I7" s="109">
        <v>915</v>
      </c>
      <c r="J7" s="109">
        <v>915</v>
      </c>
      <c r="K7" s="29"/>
      <c r="L7" s="29"/>
      <c r="M7" s="29"/>
      <c r="N7" s="8"/>
      <c r="AE7" s="15"/>
    </row>
    <row r="8" spans="1:41" x14ac:dyDescent="0.25">
      <c r="A8" s="108">
        <v>40</v>
      </c>
      <c r="B8" s="107">
        <f>A8*10830000</f>
        <v>433200000</v>
      </c>
      <c r="C8" s="109">
        <v>450</v>
      </c>
      <c r="D8" s="109">
        <v>600</v>
      </c>
      <c r="E8" s="109">
        <v>610</v>
      </c>
      <c r="F8" s="109">
        <v>915</v>
      </c>
      <c r="G8" s="109">
        <v>915</v>
      </c>
      <c r="H8" s="109">
        <v>915</v>
      </c>
      <c r="I8" s="109">
        <v>915</v>
      </c>
      <c r="J8" s="109">
        <v>915</v>
      </c>
      <c r="K8" s="29"/>
      <c r="L8" s="29"/>
      <c r="M8" s="29"/>
      <c r="N8" s="8"/>
      <c r="AE8" s="15"/>
    </row>
    <row r="9" spans="1:41" x14ac:dyDescent="0.25">
      <c r="A9" s="108">
        <v>30</v>
      </c>
      <c r="B9" s="107">
        <f>A9*10830000</f>
        <v>324900000</v>
      </c>
      <c r="C9" s="109">
        <v>450</v>
      </c>
      <c r="D9" s="109">
        <v>450</v>
      </c>
      <c r="E9" s="109">
        <v>600</v>
      </c>
      <c r="F9" s="109">
        <v>600</v>
      </c>
      <c r="G9" s="109">
        <v>610</v>
      </c>
      <c r="H9" s="109">
        <v>915</v>
      </c>
      <c r="I9" s="109">
        <v>915</v>
      </c>
      <c r="J9" s="109">
        <v>915</v>
      </c>
      <c r="K9" s="29"/>
      <c r="L9" s="29"/>
      <c r="M9" s="29"/>
      <c r="N9" s="8"/>
      <c r="AE9" s="15"/>
    </row>
    <row r="10" spans="1:41" x14ac:dyDescent="0.25">
      <c r="A10" s="108">
        <v>20</v>
      </c>
      <c r="B10" s="107">
        <f>A10*10830000</f>
        <v>216600000</v>
      </c>
      <c r="C10" s="109">
        <v>450</v>
      </c>
      <c r="D10" s="109">
        <v>450</v>
      </c>
      <c r="E10" s="109">
        <v>450</v>
      </c>
      <c r="F10" s="109">
        <v>600</v>
      </c>
      <c r="G10" s="109">
        <v>600</v>
      </c>
      <c r="H10" s="109">
        <v>600</v>
      </c>
      <c r="I10" s="109">
        <v>600</v>
      </c>
      <c r="J10" s="109">
        <v>600</v>
      </c>
      <c r="K10" s="29"/>
      <c r="L10" s="29"/>
      <c r="M10" s="29"/>
      <c r="N10" s="8"/>
      <c r="AE10" s="15"/>
    </row>
    <row r="11" spans="1:41" x14ac:dyDescent="0.25">
      <c r="A11" s="8">
        <v>15</v>
      </c>
      <c r="B11" s="19">
        <f t="shared" ref="B11:B23" si="0">A11*10830000</f>
        <v>162450000</v>
      </c>
      <c r="C11" s="78">
        <v>450</v>
      </c>
      <c r="D11" s="78">
        <v>450</v>
      </c>
      <c r="E11" s="78">
        <v>450</v>
      </c>
      <c r="F11" s="78">
        <v>450</v>
      </c>
      <c r="G11" s="78">
        <v>600</v>
      </c>
      <c r="H11" s="78">
        <v>600</v>
      </c>
      <c r="I11" s="78">
        <v>600</v>
      </c>
      <c r="J11" s="18">
        <v>600</v>
      </c>
      <c r="K11" s="29"/>
      <c r="L11" s="29"/>
      <c r="M11" s="29"/>
      <c r="AE11" s="15"/>
    </row>
    <row r="12" spans="1:41" x14ac:dyDescent="0.25">
      <c r="A12" s="8">
        <v>12</v>
      </c>
      <c r="B12" s="19">
        <f t="shared" si="0"/>
        <v>129960000</v>
      </c>
      <c r="C12" s="78">
        <v>300</v>
      </c>
      <c r="D12" s="78">
        <v>450</v>
      </c>
      <c r="E12" s="78">
        <v>450</v>
      </c>
      <c r="F12" s="78">
        <v>450</v>
      </c>
      <c r="G12" s="78">
        <v>450</v>
      </c>
      <c r="H12" s="78">
        <v>450</v>
      </c>
      <c r="I12" s="78">
        <v>600</v>
      </c>
      <c r="J12" s="18">
        <v>600</v>
      </c>
      <c r="K12" s="78"/>
      <c r="L12" s="78"/>
      <c r="M12" s="29"/>
    </row>
    <row r="13" spans="1:41" x14ac:dyDescent="0.25">
      <c r="A13" s="8">
        <v>10</v>
      </c>
      <c r="B13" s="19">
        <f t="shared" si="0"/>
        <v>108300000</v>
      </c>
      <c r="C13" s="78">
        <v>300</v>
      </c>
      <c r="D13" s="78">
        <v>300</v>
      </c>
      <c r="E13" s="78">
        <v>450</v>
      </c>
      <c r="F13" s="78">
        <v>450</v>
      </c>
      <c r="G13" s="78">
        <v>450</v>
      </c>
      <c r="H13" s="78">
        <v>450</v>
      </c>
      <c r="I13" s="78">
        <v>450</v>
      </c>
      <c r="J13" s="18">
        <v>600</v>
      </c>
      <c r="K13" s="78"/>
      <c r="L13" s="78"/>
      <c r="M13" s="78"/>
    </row>
    <row r="14" spans="1:41" x14ac:dyDescent="0.25">
      <c r="A14" s="8">
        <v>7</v>
      </c>
      <c r="B14" s="19">
        <f t="shared" si="0"/>
        <v>75810000</v>
      </c>
      <c r="C14" s="78">
        <v>300</v>
      </c>
      <c r="D14" s="78">
        <v>300</v>
      </c>
      <c r="E14" s="78">
        <v>300</v>
      </c>
      <c r="F14" s="78">
        <v>300</v>
      </c>
      <c r="G14" s="78">
        <v>450</v>
      </c>
      <c r="H14" s="78">
        <v>450</v>
      </c>
      <c r="I14" s="78">
        <v>450</v>
      </c>
      <c r="J14" s="18">
        <v>450</v>
      </c>
      <c r="K14" s="78"/>
      <c r="L14" s="78"/>
      <c r="M14" s="78"/>
      <c r="AE14" s="10"/>
      <c r="AF14" s="10"/>
      <c r="AG14" s="15"/>
      <c r="AH14" s="10"/>
      <c r="AI14" s="10"/>
      <c r="AJ14" s="10"/>
      <c r="AK14" s="10"/>
      <c r="AL14" s="10"/>
      <c r="AM14" s="10"/>
      <c r="AN14" s="10"/>
      <c r="AO14" s="21"/>
    </row>
    <row r="15" spans="1:41" x14ac:dyDescent="0.25">
      <c r="A15" s="8">
        <v>5</v>
      </c>
      <c r="B15" s="19">
        <f t="shared" si="0"/>
        <v>54150000</v>
      </c>
      <c r="C15" s="78">
        <v>300</v>
      </c>
      <c r="D15" s="78">
        <v>300</v>
      </c>
      <c r="E15" s="78">
        <v>300</v>
      </c>
      <c r="F15" s="78">
        <v>300</v>
      </c>
      <c r="G15" s="78">
        <v>300</v>
      </c>
      <c r="H15" s="78">
        <v>300</v>
      </c>
      <c r="I15" s="78">
        <v>450</v>
      </c>
      <c r="J15" s="18">
        <v>450</v>
      </c>
      <c r="K15" s="78"/>
      <c r="L15" s="78"/>
      <c r="M15" s="78"/>
      <c r="AE15" s="15"/>
      <c r="AF15" s="15"/>
      <c r="AG15" s="10"/>
      <c r="AH15" s="10"/>
      <c r="AI15" s="10"/>
      <c r="AJ15" s="10"/>
      <c r="AK15" s="10"/>
      <c r="AL15" s="10"/>
      <c r="AM15" s="10"/>
      <c r="AN15" s="10"/>
      <c r="AO15" s="21"/>
    </row>
    <row r="16" spans="1:41" x14ac:dyDescent="0.25">
      <c r="A16" s="8">
        <v>4</v>
      </c>
      <c r="B16" s="19">
        <f t="shared" si="0"/>
        <v>43320000</v>
      </c>
      <c r="C16" s="78">
        <v>200</v>
      </c>
      <c r="D16" s="78">
        <v>300</v>
      </c>
      <c r="E16" s="78">
        <v>300</v>
      </c>
      <c r="F16" s="78">
        <v>300</v>
      </c>
      <c r="G16" s="78">
        <v>300</v>
      </c>
      <c r="H16" s="78">
        <v>300</v>
      </c>
      <c r="I16" s="78">
        <v>300</v>
      </c>
      <c r="J16" s="18">
        <v>450</v>
      </c>
      <c r="K16" s="78"/>
      <c r="L16" s="78"/>
      <c r="M16" s="78"/>
      <c r="AE16" s="10"/>
      <c r="AF16" s="11"/>
      <c r="AG16" s="10"/>
      <c r="AH16" s="10"/>
      <c r="AI16" s="10"/>
      <c r="AJ16" s="10"/>
      <c r="AK16" s="10"/>
      <c r="AL16" s="10"/>
      <c r="AM16" s="10"/>
      <c r="AN16" s="10"/>
      <c r="AO16" s="21"/>
    </row>
    <row r="17" spans="1:50" x14ac:dyDescent="0.25">
      <c r="A17" s="8">
        <v>3</v>
      </c>
      <c r="B17" s="19">
        <f t="shared" si="0"/>
        <v>32490000</v>
      </c>
      <c r="C17" s="78">
        <v>200</v>
      </c>
      <c r="D17" s="78">
        <v>200</v>
      </c>
      <c r="E17" s="78">
        <v>200</v>
      </c>
      <c r="F17" s="78">
        <v>300</v>
      </c>
      <c r="G17" s="78">
        <v>300</v>
      </c>
      <c r="H17" s="78">
        <v>300</v>
      </c>
      <c r="I17" s="78">
        <v>300</v>
      </c>
      <c r="J17" s="18">
        <v>300</v>
      </c>
      <c r="K17" s="78"/>
      <c r="L17" s="78"/>
      <c r="M17" s="78"/>
      <c r="AE17" s="10"/>
      <c r="AF17" s="11"/>
      <c r="AG17" s="10"/>
      <c r="AH17" s="10"/>
      <c r="AI17" s="10"/>
      <c r="AJ17" s="10"/>
      <c r="AK17" s="10"/>
      <c r="AL17" s="10"/>
      <c r="AM17" s="10"/>
      <c r="AN17" s="10"/>
      <c r="AO17" s="21"/>
    </row>
    <row r="18" spans="1:50" x14ac:dyDescent="0.25">
      <c r="A18" s="8">
        <v>2</v>
      </c>
      <c r="B18" s="19">
        <f t="shared" si="0"/>
        <v>21660000</v>
      </c>
      <c r="C18" s="78">
        <v>150</v>
      </c>
      <c r="D18" s="78">
        <v>150</v>
      </c>
      <c r="E18" s="78">
        <v>200</v>
      </c>
      <c r="F18" s="78">
        <v>200</v>
      </c>
      <c r="G18" s="78">
        <v>200</v>
      </c>
      <c r="H18" s="78">
        <v>200</v>
      </c>
      <c r="I18" s="78">
        <v>200</v>
      </c>
      <c r="J18" s="18">
        <v>300</v>
      </c>
      <c r="K18" s="78"/>
      <c r="L18" s="78"/>
      <c r="M18" s="78"/>
      <c r="AE18" s="10"/>
      <c r="AF18" s="11"/>
      <c r="AG18" s="10"/>
      <c r="AH18" s="10"/>
      <c r="AI18" s="10"/>
      <c r="AJ18" s="10"/>
      <c r="AK18" s="10"/>
      <c r="AL18" s="10"/>
      <c r="AM18" s="10"/>
      <c r="AN18" s="10"/>
      <c r="AO18" s="21"/>
    </row>
    <row r="19" spans="1:50" x14ac:dyDescent="0.25">
      <c r="A19" s="8">
        <v>1</v>
      </c>
      <c r="B19" s="19">
        <f t="shared" si="0"/>
        <v>10830000</v>
      </c>
      <c r="C19" s="78">
        <v>100</v>
      </c>
      <c r="D19" s="78">
        <v>150</v>
      </c>
      <c r="E19" s="78">
        <v>150</v>
      </c>
      <c r="F19" s="78">
        <v>150</v>
      </c>
      <c r="G19" s="78">
        <v>150</v>
      </c>
      <c r="H19" s="78">
        <v>150</v>
      </c>
      <c r="I19" s="78">
        <v>150</v>
      </c>
      <c r="J19" s="18">
        <v>200</v>
      </c>
      <c r="K19" s="78"/>
      <c r="L19" s="78"/>
      <c r="M19" s="78"/>
      <c r="AE19" s="10"/>
      <c r="AF19" s="11"/>
      <c r="AG19" s="10"/>
      <c r="AH19" s="10"/>
      <c r="AI19" s="10"/>
      <c r="AJ19" s="10"/>
      <c r="AK19" s="10"/>
      <c r="AL19" s="10"/>
      <c r="AM19" s="10"/>
      <c r="AN19" s="10"/>
      <c r="AO19" s="21"/>
    </row>
    <row r="20" spans="1:50" x14ac:dyDescent="0.25">
      <c r="A20" s="8">
        <v>0.5</v>
      </c>
      <c r="B20" s="19">
        <f t="shared" si="0"/>
        <v>5415000</v>
      </c>
      <c r="C20" s="78">
        <v>100</v>
      </c>
      <c r="D20" s="78">
        <v>150</v>
      </c>
      <c r="E20" s="78">
        <v>150</v>
      </c>
      <c r="F20" s="78">
        <v>150</v>
      </c>
      <c r="G20" s="78">
        <v>150</v>
      </c>
      <c r="H20" s="78">
        <v>150</v>
      </c>
      <c r="I20" s="78">
        <v>150</v>
      </c>
      <c r="J20" s="18">
        <v>200</v>
      </c>
      <c r="K20" s="78"/>
      <c r="L20" s="78"/>
      <c r="M20" s="78"/>
      <c r="AE20" s="10"/>
      <c r="AF20" s="11"/>
      <c r="AG20" s="10"/>
      <c r="AH20" s="10"/>
      <c r="AI20" s="10"/>
      <c r="AJ20" s="10"/>
      <c r="AK20" s="10"/>
      <c r="AL20" s="10"/>
      <c r="AM20" s="10"/>
      <c r="AN20" s="10"/>
      <c r="AO20" s="21"/>
    </row>
    <row r="21" spans="1:50" x14ac:dyDescent="0.25">
      <c r="A21" s="8">
        <v>0.4</v>
      </c>
      <c r="B21" s="19">
        <f t="shared" si="0"/>
        <v>4332000</v>
      </c>
      <c r="C21" s="78">
        <v>100</v>
      </c>
      <c r="D21" s="78">
        <v>100</v>
      </c>
      <c r="E21" s="78">
        <v>100</v>
      </c>
      <c r="F21" s="78">
        <v>150</v>
      </c>
      <c r="G21" s="78">
        <v>150</v>
      </c>
      <c r="H21" s="78">
        <v>150</v>
      </c>
      <c r="I21" s="78">
        <v>150</v>
      </c>
      <c r="J21" s="18">
        <v>150</v>
      </c>
      <c r="K21" s="78"/>
      <c r="L21" s="78"/>
      <c r="M21" s="78"/>
      <c r="T21" s="15"/>
      <c r="AE21" s="10"/>
      <c r="AF21" s="11"/>
      <c r="AG21" s="10"/>
      <c r="AH21" s="10"/>
      <c r="AI21" s="10"/>
      <c r="AJ21" s="10"/>
      <c r="AK21" s="10"/>
      <c r="AL21" s="10"/>
      <c r="AM21" s="10"/>
      <c r="AN21" s="10"/>
      <c r="AO21" s="21"/>
    </row>
    <row r="22" spans="1:50" x14ac:dyDescent="0.25">
      <c r="A22" s="8">
        <v>0.3</v>
      </c>
      <c r="B22" s="19">
        <f t="shared" si="0"/>
        <v>3249000</v>
      </c>
      <c r="C22" s="78">
        <v>100</v>
      </c>
      <c r="D22" s="78">
        <v>100</v>
      </c>
      <c r="E22" s="78">
        <v>100</v>
      </c>
      <c r="F22" s="78">
        <v>100</v>
      </c>
      <c r="G22" s="78">
        <v>100</v>
      </c>
      <c r="H22" s="78">
        <v>100</v>
      </c>
      <c r="I22" s="78">
        <v>150</v>
      </c>
      <c r="J22" s="18">
        <v>150</v>
      </c>
      <c r="K22" s="78"/>
      <c r="L22" s="78"/>
      <c r="M22" s="78"/>
      <c r="T22" s="15"/>
      <c r="AE22" s="10"/>
      <c r="AF22" s="11"/>
      <c r="AG22" s="10"/>
      <c r="AH22" s="10"/>
      <c r="AI22" s="10"/>
      <c r="AJ22" s="10"/>
      <c r="AK22" s="10"/>
      <c r="AL22" s="10"/>
      <c r="AM22" s="10"/>
      <c r="AN22" s="10"/>
      <c r="AO22" s="21"/>
    </row>
    <row r="23" spans="1:50" x14ac:dyDescent="0.25">
      <c r="A23" s="8">
        <v>0.2</v>
      </c>
      <c r="B23" s="19">
        <f t="shared" si="0"/>
        <v>2166000</v>
      </c>
      <c r="C23" s="78">
        <v>50</v>
      </c>
      <c r="D23" s="78">
        <v>100</v>
      </c>
      <c r="E23" s="78">
        <v>100</v>
      </c>
      <c r="F23" s="78">
        <v>100</v>
      </c>
      <c r="G23" s="78">
        <v>100</v>
      </c>
      <c r="H23" s="78">
        <v>100</v>
      </c>
      <c r="I23" s="78">
        <v>100</v>
      </c>
      <c r="J23" s="18">
        <v>150</v>
      </c>
      <c r="K23" s="78"/>
      <c r="L23" s="78"/>
      <c r="M23" s="78"/>
      <c r="T23" s="15"/>
      <c r="AE23" s="10"/>
      <c r="AF23" s="11"/>
      <c r="AG23" s="10"/>
      <c r="AH23" s="10"/>
      <c r="AI23" s="10"/>
      <c r="AJ23" s="10"/>
      <c r="AK23" s="10"/>
      <c r="AL23" s="10"/>
      <c r="AM23" s="10"/>
      <c r="AN23" s="10"/>
      <c r="AO23" s="21"/>
    </row>
    <row r="24" spans="1:50" x14ac:dyDescent="0.25">
      <c r="A24" s="8">
        <v>0.1</v>
      </c>
      <c r="B24" s="19">
        <f>A24*10830000</f>
        <v>1083000</v>
      </c>
      <c r="C24" s="78">
        <v>50</v>
      </c>
      <c r="D24" s="78">
        <v>100</v>
      </c>
      <c r="E24" s="78">
        <v>100</v>
      </c>
      <c r="F24" s="78">
        <v>100</v>
      </c>
      <c r="G24" s="78">
        <v>100</v>
      </c>
      <c r="H24" s="78">
        <v>100</v>
      </c>
      <c r="I24" s="78">
        <v>100</v>
      </c>
      <c r="J24" s="18">
        <v>100</v>
      </c>
      <c r="K24" s="78"/>
      <c r="L24" s="78"/>
      <c r="M24" s="78"/>
      <c r="AE24" s="10"/>
      <c r="AF24" s="11"/>
      <c r="AG24" s="10"/>
      <c r="AH24" s="10"/>
      <c r="AI24" s="10"/>
      <c r="AJ24" s="10"/>
      <c r="AK24" s="10"/>
      <c r="AL24" s="10"/>
      <c r="AM24" s="10"/>
      <c r="AN24" s="10"/>
      <c r="AO24" s="21"/>
    </row>
    <row r="25" spans="1:50" x14ac:dyDescent="0.25">
      <c r="A25" s="8"/>
      <c r="B25" s="19"/>
      <c r="C25" s="78"/>
      <c r="D25" s="78"/>
      <c r="E25" s="78"/>
      <c r="F25" s="78"/>
      <c r="G25" s="78"/>
      <c r="H25" s="78"/>
      <c r="I25" s="78"/>
      <c r="K25" s="78"/>
      <c r="L25" s="78"/>
      <c r="M25" s="78"/>
      <c r="AE25" s="10"/>
      <c r="AF25" s="11"/>
      <c r="AG25" s="10"/>
      <c r="AH25" s="10"/>
      <c r="AI25" s="10"/>
      <c r="AJ25" s="10"/>
      <c r="AK25" s="10"/>
      <c r="AL25" s="10"/>
      <c r="AM25" s="10"/>
      <c r="AN25" s="10"/>
      <c r="AO25" s="21"/>
    </row>
    <row r="26" spans="1:50" x14ac:dyDescent="0.25">
      <c r="A26" s="9" t="s">
        <v>38</v>
      </c>
      <c r="B26" s="19"/>
      <c r="AE26" s="10"/>
      <c r="AF26" s="11"/>
      <c r="AG26" s="10"/>
      <c r="AH26" s="10"/>
      <c r="AI26" s="10"/>
      <c r="AJ26" s="10"/>
      <c r="AK26" s="10"/>
      <c r="AL26" s="10"/>
      <c r="AM26" s="10"/>
      <c r="AN26" s="10"/>
      <c r="AO26" s="21"/>
    </row>
    <row r="27" spans="1:50" s="32" customFormat="1" x14ac:dyDescent="0.25">
      <c r="A27" s="186"/>
      <c r="B27" s="183"/>
      <c r="C27" s="117" t="s">
        <v>123</v>
      </c>
      <c r="D27" s="180" t="s">
        <v>110</v>
      </c>
      <c r="E27" s="180"/>
      <c r="AE27" s="14"/>
      <c r="AF27" s="34"/>
      <c r="AG27" s="14"/>
      <c r="AH27" s="14"/>
      <c r="AI27" s="14"/>
      <c r="AJ27" s="14"/>
      <c r="AK27" s="14"/>
      <c r="AL27" s="14"/>
      <c r="AM27" s="14"/>
      <c r="AN27" s="14"/>
      <c r="AO27" s="35"/>
      <c r="AR27" s="14"/>
    </row>
    <row r="28" spans="1:50" ht="17.25" customHeight="1" x14ac:dyDescent="0.25">
      <c r="A28" s="117" t="s">
        <v>131</v>
      </c>
      <c r="B28" s="184" t="s">
        <v>126</v>
      </c>
      <c r="C28" s="181" t="s">
        <v>125</v>
      </c>
      <c r="D28" s="117" t="s">
        <v>109</v>
      </c>
      <c r="E28" s="117" t="s">
        <v>127</v>
      </c>
      <c r="AE28" s="10"/>
      <c r="AF28" s="11"/>
      <c r="AG28" s="10"/>
      <c r="AH28" s="10"/>
      <c r="AI28" s="10"/>
      <c r="AJ28" s="10"/>
      <c r="AK28" s="10"/>
      <c r="AL28" s="10"/>
      <c r="AM28" s="10"/>
      <c r="AN28" s="10"/>
      <c r="AO28" s="21"/>
      <c r="AP28" s="10"/>
      <c r="AQ28" s="10"/>
      <c r="AR28" s="10"/>
      <c r="AS28" s="10"/>
      <c r="AT28" s="10"/>
      <c r="AU28" s="10"/>
      <c r="AV28" s="10"/>
      <c r="AW28" s="10"/>
      <c r="AX28" s="10"/>
    </row>
    <row r="29" spans="1:50" x14ac:dyDescent="0.25">
      <c r="A29" s="179" t="s">
        <v>63</v>
      </c>
      <c r="B29" s="185" t="s">
        <v>18</v>
      </c>
      <c r="C29" s="157">
        <v>2.1927297668038412</v>
      </c>
      <c r="D29" s="157">
        <v>1.2266493019576701</v>
      </c>
      <c r="E29" s="84" t="s">
        <v>18</v>
      </c>
      <c r="AE29" s="21"/>
      <c r="AF29" s="21"/>
      <c r="AG29" s="21"/>
      <c r="AH29" s="21"/>
      <c r="AI29" s="21"/>
      <c r="AJ29" s="21"/>
      <c r="AK29" s="21"/>
      <c r="AL29" s="21"/>
      <c r="AM29" s="21"/>
      <c r="AN29" s="21"/>
      <c r="AP29" s="10"/>
      <c r="AQ29" s="10"/>
      <c r="AR29" s="10"/>
      <c r="AS29" s="10"/>
      <c r="AT29" s="10"/>
      <c r="AU29" s="10"/>
      <c r="AV29" s="10"/>
      <c r="AW29" s="10"/>
      <c r="AX29" s="10"/>
    </row>
    <row r="30" spans="1:50" x14ac:dyDescent="0.25">
      <c r="A30" s="8">
        <v>50</v>
      </c>
      <c r="B30" s="19">
        <v>125000</v>
      </c>
      <c r="C30" s="19">
        <f>B30*$C$29</f>
        <v>274091.22085048014</v>
      </c>
      <c r="D30" s="23">
        <f>C30*$D$29</f>
        <v>336213.80472896702</v>
      </c>
      <c r="E30" s="23">
        <f>D30</f>
        <v>336213.80472896702</v>
      </c>
      <c r="F30" s="15"/>
      <c r="AP30" s="10"/>
      <c r="AQ30" s="10"/>
      <c r="AR30" s="10"/>
      <c r="AS30" s="10"/>
      <c r="AT30" s="10"/>
      <c r="AU30" s="10"/>
      <c r="AV30" s="10"/>
      <c r="AW30" s="10"/>
      <c r="AX30" s="10"/>
    </row>
    <row r="31" spans="1:50" x14ac:dyDescent="0.25">
      <c r="A31" s="8">
        <v>100</v>
      </c>
      <c r="B31" s="19">
        <v>150000</v>
      </c>
      <c r="C31" s="19">
        <f t="shared" ref="C31:C36" si="1">B31*$C$29</f>
        <v>328909.4650205762</v>
      </c>
      <c r="D31" s="23">
        <f t="shared" ref="D31:D36" si="2">C31*$D$29</f>
        <v>403456.5656747605</v>
      </c>
      <c r="E31" s="23">
        <f t="shared" ref="E31:E36" si="3">D31</f>
        <v>403456.5656747605</v>
      </c>
      <c r="F31" s="15"/>
      <c r="AP31" s="10"/>
      <c r="AQ31" s="10"/>
      <c r="AR31" s="10"/>
      <c r="AS31" s="10"/>
      <c r="AT31" s="10"/>
      <c r="AU31" s="10"/>
      <c r="AV31" s="10"/>
      <c r="AW31" s="10"/>
      <c r="AX31" s="10"/>
    </row>
    <row r="32" spans="1:50" x14ac:dyDescent="0.25">
      <c r="A32" s="8">
        <v>150</v>
      </c>
      <c r="B32" s="19">
        <v>187500</v>
      </c>
      <c r="C32" s="19">
        <f t="shared" si="1"/>
        <v>411136.83127572021</v>
      </c>
      <c r="D32" s="23">
        <f t="shared" si="2"/>
        <v>504320.70709345059</v>
      </c>
      <c r="E32" s="23">
        <f t="shared" si="3"/>
        <v>504320.70709345059</v>
      </c>
      <c r="AE32" s="15"/>
      <c r="AF32" s="19"/>
      <c r="AP32" s="10"/>
      <c r="AQ32" s="10"/>
      <c r="AR32" s="10"/>
      <c r="AS32" s="10"/>
      <c r="AT32" s="10"/>
      <c r="AU32" s="10"/>
      <c r="AV32" s="10"/>
      <c r="AW32" s="10"/>
      <c r="AX32" s="10"/>
    </row>
    <row r="33" spans="1:50" x14ac:dyDescent="0.25">
      <c r="A33" s="8">
        <v>200</v>
      </c>
      <c r="B33" s="19">
        <v>202500</v>
      </c>
      <c r="C33" s="19">
        <f t="shared" si="1"/>
        <v>444027.77777777787</v>
      </c>
      <c r="D33" s="23">
        <f t="shared" si="2"/>
        <v>544666.3636609267</v>
      </c>
      <c r="E33" s="23">
        <f t="shared" si="3"/>
        <v>544666.3636609267</v>
      </c>
      <c r="AF33" s="19"/>
      <c r="AP33" s="10"/>
      <c r="AQ33" s="10"/>
      <c r="AR33" s="10"/>
      <c r="AS33" s="10"/>
      <c r="AT33" s="10"/>
      <c r="AU33" s="10"/>
      <c r="AV33" s="10"/>
      <c r="AW33" s="10"/>
      <c r="AX33" s="10"/>
    </row>
    <row r="34" spans="1:50" x14ac:dyDescent="0.25">
      <c r="A34" s="8">
        <v>300</v>
      </c>
      <c r="B34" s="19">
        <v>238750</v>
      </c>
      <c r="C34" s="19">
        <f t="shared" si="1"/>
        <v>523514.23182441707</v>
      </c>
      <c r="D34" s="23">
        <f t="shared" si="2"/>
        <v>642168.36703232711</v>
      </c>
      <c r="E34" s="23">
        <f t="shared" si="3"/>
        <v>642168.36703232711</v>
      </c>
      <c r="AP34" s="10"/>
      <c r="AQ34" s="10"/>
      <c r="AR34" s="10"/>
      <c r="AS34" s="10"/>
      <c r="AT34" s="10"/>
      <c r="AU34" s="10"/>
      <c r="AV34" s="10"/>
      <c r="AW34" s="10"/>
      <c r="AX34" s="10"/>
    </row>
    <row r="35" spans="1:50" x14ac:dyDescent="0.25">
      <c r="A35" s="8">
        <v>450</v>
      </c>
      <c r="B35" s="19">
        <v>355000</v>
      </c>
      <c r="C35" s="19">
        <f t="shared" si="1"/>
        <v>778419.06721536361</v>
      </c>
      <c r="D35" s="23">
        <f t="shared" si="2"/>
        <v>954847.20543026645</v>
      </c>
      <c r="E35" s="23">
        <f t="shared" si="3"/>
        <v>954847.20543026645</v>
      </c>
      <c r="AP35" s="10"/>
      <c r="AQ35" s="10"/>
      <c r="AR35" s="10"/>
      <c r="AS35" s="10"/>
      <c r="AT35" s="10"/>
      <c r="AU35" s="10"/>
      <c r="AV35" s="10"/>
      <c r="AW35" s="10"/>
      <c r="AX35" s="10"/>
    </row>
    <row r="36" spans="1:50" x14ac:dyDescent="0.25">
      <c r="A36" s="8">
        <v>600</v>
      </c>
      <c r="B36" s="19">
        <v>414000</v>
      </c>
      <c r="C36" s="19">
        <f t="shared" si="1"/>
        <v>907790.12345679023</v>
      </c>
      <c r="D36" s="23">
        <f t="shared" si="2"/>
        <v>1113540.1212623389</v>
      </c>
      <c r="E36" s="23">
        <f t="shared" si="3"/>
        <v>1113540.1212623389</v>
      </c>
      <c r="AE36" s="10"/>
      <c r="AF36" s="10"/>
      <c r="AG36" s="21"/>
      <c r="AP36" s="10"/>
      <c r="AQ36" s="10"/>
      <c r="AR36" s="10"/>
      <c r="AS36" s="10"/>
      <c r="AT36" s="10"/>
      <c r="AU36" s="10"/>
      <c r="AV36" s="10"/>
      <c r="AW36" s="10"/>
      <c r="AX36" s="10"/>
    </row>
    <row r="37" spans="1:50" x14ac:dyDescent="0.25">
      <c r="A37" s="106">
        <v>610</v>
      </c>
      <c r="B37" s="107"/>
      <c r="C37" s="182">
        <v>1600000</v>
      </c>
      <c r="D37" s="182">
        <f>C37*$D$29</f>
        <v>1962638.8831322722</v>
      </c>
      <c r="E37" s="182">
        <f>D37*C46/100</f>
        <v>1845384.6304660109</v>
      </c>
      <c r="AE37" s="10"/>
      <c r="AF37" s="10"/>
      <c r="AG37" s="21"/>
      <c r="AP37" s="10"/>
      <c r="AQ37" s="10"/>
      <c r="AR37" s="10"/>
      <c r="AS37" s="10"/>
      <c r="AT37" s="10"/>
      <c r="AU37" s="10"/>
      <c r="AV37" s="10"/>
      <c r="AW37" s="10"/>
      <c r="AX37" s="10"/>
    </row>
    <row r="38" spans="1:50" x14ac:dyDescent="0.25">
      <c r="A38" s="106">
        <v>915</v>
      </c>
      <c r="B38" s="107"/>
      <c r="C38" s="182">
        <v>2500000</v>
      </c>
      <c r="D38" s="182">
        <f t="shared" ref="D38" si="4">C38*$D$29</f>
        <v>3066623.2548941751</v>
      </c>
      <c r="E38" s="182">
        <f t="shared" ref="E38:E39" si="5">D38*C47/100</f>
        <v>2949369.0022279145</v>
      </c>
      <c r="AE38" s="10"/>
      <c r="AF38" s="10"/>
      <c r="AG38" s="21"/>
      <c r="AP38" s="10"/>
      <c r="AQ38" s="10"/>
      <c r="AR38" s="10"/>
      <c r="AS38" s="10"/>
      <c r="AT38" s="10"/>
      <c r="AU38" s="10"/>
      <c r="AV38" s="10"/>
      <c r="AW38" s="10"/>
      <c r="AX38" s="10"/>
    </row>
    <row r="39" spans="1:50" x14ac:dyDescent="0.25">
      <c r="A39" s="106">
        <v>1220</v>
      </c>
      <c r="B39" s="107"/>
      <c r="C39" s="182">
        <v>3500000</v>
      </c>
      <c r="D39" s="182">
        <f>C39*$D$29</f>
        <v>4293272.5568518452</v>
      </c>
      <c r="E39" s="182">
        <f t="shared" si="5"/>
        <v>4176018.3041855842</v>
      </c>
      <c r="AE39" s="10"/>
      <c r="AF39" s="10"/>
      <c r="AG39" s="21"/>
      <c r="AP39" s="10"/>
      <c r="AQ39" s="10"/>
      <c r="AR39" s="10"/>
      <c r="AS39" s="10"/>
      <c r="AT39" s="10"/>
      <c r="AU39" s="10"/>
      <c r="AV39" s="10"/>
      <c r="AW39" s="10"/>
      <c r="AX39" s="10"/>
    </row>
    <row r="40" spans="1:50" x14ac:dyDescent="0.25">
      <c r="A40" s="8"/>
      <c r="B40" s="19"/>
      <c r="AE40" s="10"/>
      <c r="AF40" s="10"/>
      <c r="AG40" s="21"/>
      <c r="AP40" s="10"/>
      <c r="AQ40" s="10"/>
      <c r="AR40" s="10"/>
      <c r="AS40" s="10"/>
      <c r="AT40" s="10"/>
      <c r="AU40" s="10"/>
      <c r="AV40" s="10"/>
      <c r="AW40" s="10"/>
      <c r="AX40" s="10"/>
    </row>
    <row r="41" spans="1:50" x14ac:dyDescent="0.25">
      <c r="A41" s="8"/>
      <c r="B41" s="19"/>
      <c r="AE41" s="10"/>
      <c r="AF41" s="10"/>
      <c r="AG41" s="21"/>
      <c r="AP41" s="10"/>
      <c r="AQ41" s="10"/>
      <c r="AR41" s="10"/>
      <c r="AS41" s="10"/>
      <c r="AT41" s="10"/>
      <c r="AU41" s="10"/>
      <c r="AV41" s="10"/>
      <c r="AW41" s="10"/>
      <c r="AX41" s="10"/>
    </row>
    <row r="42" spans="1:50" x14ac:dyDescent="0.25">
      <c r="A42" s="8"/>
      <c r="B42" s="19"/>
      <c r="AE42" s="10"/>
      <c r="AF42" s="10"/>
      <c r="AG42" s="21"/>
      <c r="AP42" s="10"/>
      <c r="AQ42" s="10"/>
      <c r="AR42" s="10"/>
      <c r="AS42" s="10"/>
      <c r="AT42" s="10"/>
      <c r="AU42" s="10"/>
      <c r="AV42" s="10"/>
      <c r="AW42" s="10"/>
      <c r="AX42" s="10"/>
    </row>
    <row r="43" spans="1:50" x14ac:dyDescent="0.25">
      <c r="A43" s="8"/>
      <c r="B43" s="19"/>
      <c r="AE43" s="10"/>
      <c r="AF43" s="10"/>
      <c r="AG43" s="21"/>
      <c r="AP43" s="10"/>
      <c r="AQ43" s="10"/>
      <c r="AR43" s="10"/>
      <c r="AS43" s="10"/>
      <c r="AT43" s="10"/>
      <c r="AU43" s="10"/>
      <c r="AV43" s="10"/>
      <c r="AW43" s="10"/>
      <c r="AX43" s="10"/>
    </row>
    <row r="44" spans="1:50" x14ac:dyDescent="0.25">
      <c r="A44" s="8"/>
      <c r="B44" s="19"/>
      <c r="AE44" s="10"/>
      <c r="AF44" s="10"/>
      <c r="AG44" s="21"/>
      <c r="AP44" s="10"/>
      <c r="AQ44" s="10"/>
      <c r="AR44" s="10"/>
      <c r="AS44" s="10"/>
      <c r="AT44" s="10"/>
      <c r="AU44" s="10"/>
      <c r="AV44" s="10"/>
      <c r="AW44" s="10"/>
      <c r="AX44" s="10"/>
    </row>
    <row r="45" spans="1:50" ht="49.5" customHeight="1" x14ac:dyDescent="0.25">
      <c r="A45" s="117" t="s">
        <v>65</v>
      </c>
      <c r="B45" s="117" t="s">
        <v>26</v>
      </c>
      <c r="C45" s="118" t="s">
        <v>99</v>
      </c>
      <c r="AE45" s="10"/>
      <c r="AF45" s="10"/>
      <c r="AG45" s="21"/>
      <c r="AP45" s="10"/>
      <c r="AQ45" s="10"/>
      <c r="AR45" s="10"/>
      <c r="AS45" s="10"/>
      <c r="AT45" s="10"/>
      <c r="AU45" s="10"/>
      <c r="AV45" s="10"/>
      <c r="AW45" s="10"/>
      <c r="AX45" s="10"/>
    </row>
    <row r="46" spans="1:50" x14ac:dyDescent="0.25">
      <c r="A46" s="119">
        <v>610</v>
      </c>
      <c r="B46" s="116">
        <f>D37</f>
        <v>1962638.8831322722</v>
      </c>
      <c r="C46" s="154">
        <f>100-(B95/(B46*J94)*100)</f>
        <v>94.025683803882998</v>
      </c>
      <c r="AE46" s="10"/>
      <c r="AF46" s="10"/>
      <c r="AG46" s="21"/>
      <c r="AP46" s="10"/>
      <c r="AQ46" s="10"/>
      <c r="AR46" s="10"/>
      <c r="AS46" s="10"/>
      <c r="AT46" s="10"/>
      <c r="AU46" s="10"/>
      <c r="AV46" s="10"/>
      <c r="AW46" s="10"/>
      <c r="AX46" s="10"/>
    </row>
    <row r="47" spans="1:50" x14ac:dyDescent="0.25">
      <c r="A47" s="119">
        <v>915</v>
      </c>
      <c r="B47" s="116">
        <f t="shared" ref="B47:B48" si="6">D38</f>
        <v>3066623.2548941751</v>
      </c>
      <c r="C47" s="155">
        <f>100-(B96/(B47*J94)*100)</f>
        <v>96.176437634485126</v>
      </c>
      <c r="AE47" s="10"/>
      <c r="AF47" s="10"/>
      <c r="AG47" s="21"/>
      <c r="AP47" s="10"/>
      <c r="AQ47" s="10"/>
      <c r="AR47" s="10"/>
      <c r="AS47" s="10"/>
      <c r="AT47" s="10"/>
      <c r="AU47" s="10"/>
      <c r="AV47" s="10"/>
      <c r="AW47" s="10"/>
      <c r="AX47" s="10"/>
    </row>
    <row r="48" spans="1:50" x14ac:dyDescent="0.25">
      <c r="A48" s="119">
        <v>1220</v>
      </c>
      <c r="B48" s="116">
        <f t="shared" si="6"/>
        <v>4293272.5568518452</v>
      </c>
      <c r="C48" s="155">
        <f>100-(B97/(B48*J94)*100)</f>
        <v>97.268884024632229</v>
      </c>
      <c r="AE48" s="10"/>
      <c r="AF48" s="10"/>
      <c r="AG48" s="21"/>
      <c r="AP48" s="10"/>
      <c r="AQ48" s="10"/>
      <c r="AR48" s="10"/>
      <c r="AS48" s="10"/>
      <c r="AT48" s="10"/>
      <c r="AU48" s="10"/>
      <c r="AV48" s="10"/>
      <c r="AW48" s="10"/>
      <c r="AX48" s="10"/>
    </row>
    <row r="49" spans="1:50" x14ac:dyDescent="0.25">
      <c r="A49" s="8"/>
      <c r="B49" s="19"/>
      <c r="AE49" s="10"/>
      <c r="AF49" s="10"/>
      <c r="AG49" s="21"/>
      <c r="AP49" s="10"/>
      <c r="AQ49" s="10"/>
      <c r="AR49" s="10"/>
      <c r="AS49" s="10"/>
      <c r="AT49" s="10"/>
      <c r="AU49" s="10"/>
      <c r="AV49" s="10"/>
      <c r="AW49" s="10"/>
      <c r="AX49" s="10"/>
    </row>
    <row r="50" spans="1:50" x14ac:dyDescent="0.25">
      <c r="A50" s="8"/>
      <c r="B50" s="19"/>
      <c r="AE50" s="10"/>
      <c r="AF50" s="10"/>
      <c r="AG50" s="21"/>
      <c r="AP50" s="10"/>
      <c r="AQ50" s="10"/>
      <c r="AR50" s="10"/>
      <c r="AS50" s="10"/>
      <c r="AT50" s="10"/>
      <c r="AU50" s="10"/>
      <c r="AV50" s="10"/>
      <c r="AW50" s="10"/>
      <c r="AX50" s="10"/>
    </row>
    <row r="51" spans="1:50" x14ac:dyDescent="0.25">
      <c r="A51" s="8"/>
      <c r="B51" s="19"/>
      <c r="C51" s="139"/>
      <c r="AE51" s="10"/>
      <c r="AF51" s="10"/>
      <c r="AG51" s="21"/>
      <c r="AP51" s="10"/>
      <c r="AQ51" s="10"/>
      <c r="AR51" s="10"/>
      <c r="AS51" s="10"/>
      <c r="AT51" s="10"/>
      <c r="AU51" s="10"/>
      <c r="AV51" s="10"/>
      <c r="AW51" s="10"/>
      <c r="AX51" s="10"/>
    </row>
    <row r="52" spans="1:50" x14ac:dyDescent="0.25">
      <c r="A52" s="8"/>
      <c r="B52" s="19"/>
      <c r="C52" s="140"/>
      <c r="AE52" s="10"/>
      <c r="AF52" s="10"/>
      <c r="AG52" s="21"/>
      <c r="AP52" s="10"/>
      <c r="AQ52" s="10"/>
      <c r="AR52" s="10"/>
      <c r="AS52" s="10"/>
      <c r="AT52" s="10"/>
      <c r="AU52" s="10"/>
      <c r="AV52" s="10"/>
      <c r="AW52" s="10"/>
      <c r="AX52" s="10"/>
    </row>
    <row r="53" spans="1:50" x14ac:dyDescent="0.25">
      <c r="A53" s="8"/>
      <c r="B53" s="19"/>
      <c r="AE53" s="10"/>
      <c r="AF53" s="10"/>
      <c r="AG53" s="21"/>
      <c r="AP53" s="10"/>
      <c r="AQ53" s="10"/>
      <c r="AR53" s="10"/>
      <c r="AS53" s="10"/>
      <c r="AT53" s="10"/>
      <c r="AU53" s="10"/>
      <c r="AV53" s="10"/>
      <c r="AW53" s="10"/>
      <c r="AX53" s="10"/>
    </row>
    <row r="54" spans="1:50" x14ac:dyDescent="0.25">
      <c r="A54" s="113" t="s">
        <v>66</v>
      </c>
      <c r="B54" s="19"/>
      <c r="AE54" s="10"/>
      <c r="AF54" s="10"/>
      <c r="AG54" s="21"/>
      <c r="AP54" s="10"/>
      <c r="AQ54" s="10"/>
      <c r="AR54" s="10"/>
      <c r="AS54" s="10"/>
      <c r="AT54" s="10"/>
      <c r="AU54" s="10"/>
      <c r="AV54" s="10"/>
      <c r="AW54" s="10"/>
      <c r="AX54" s="10"/>
    </row>
    <row r="55" spans="1:50" x14ac:dyDescent="0.25">
      <c r="D55" s="203" t="s">
        <v>110</v>
      </c>
      <c r="E55" s="203"/>
      <c r="AE55" s="10"/>
      <c r="AF55" s="10"/>
      <c r="AG55" s="21"/>
      <c r="AP55" s="10"/>
      <c r="AQ55" s="10"/>
      <c r="AR55" s="10"/>
      <c r="AS55" s="10"/>
      <c r="AT55" s="10"/>
      <c r="AU55" s="10"/>
      <c r="AV55" s="10"/>
      <c r="AW55" s="10"/>
      <c r="AX55" s="10"/>
    </row>
    <row r="56" spans="1:50" x14ac:dyDescent="0.25">
      <c r="D56" s="84" t="s">
        <v>108</v>
      </c>
      <c r="E56" s="84" t="s">
        <v>109</v>
      </c>
      <c r="AE56" s="10"/>
      <c r="AF56" s="10"/>
      <c r="AG56" s="21"/>
      <c r="AP56" s="10"/>
      <c r="AQ56" s="10"/>
      <c r="AR56" s="10"/>
      <c r="AS56" s="10"/>
      <c r="AT56" s="10"/>
      <c r="AU56" s="10"/>
      <c r="AV56" s="10"/>
      <c r="AW56" s="10"/>
      <c r="AX56" s="10"/>
    </row>
    <row r="57" spans="1:50" x14ac:dyDescent="0.25">
      <c r="A57" s="16" t="s">
        <v>89</v>
      </c>
      <c r="B57" s="10" t="s">
        <v>34</v>
      </c>
      <c r="C57" s="10" t="s">
        <v>64</v>
      </c>
      <c r="D57" s="84">
        <v>1.3558731792605958</v>
      </c>
      <c r="E57" s="157">
        <v>1.2266493019576701</v>
      </c>
      <c r="F57" s="15"/>
      <c r="G57" s="15"/>
      <c r="AE57" s="10"/>
      <c r="AF57" s="10"/>
      <c r="AG57" s="21"/>
      <c r="AP57" s="10"/>
      <c r="AQ57" s="10"/>
      <c r="AR57" s="10"/>
      <c r="AS57" s="10"/>
      <c r="AT57" s="10"/>
      <c r="AU57" s="10"/>
      <c r="AV57" s="10"/>
      <c r="AW57" s="10"/>
      <c r="AX57" s="10"/>
    </row>
    <row r="58" spans="1:50" x14ac:dyDescent="0.25">
      <c r="A58" s="108">
        <v>60</v>
      </c>
      <c r="B58" s="103">
        <v>1220</v>
      </c>
      <c r="C58" s="161">
        <v>3525</v>
      </c>
      <c r="D58" s="161">
        <f>C58*$D$57</f>
        <v>4779.4529568936005</v>
      </c>
      <c r="E58" s="162">
        <f>D58*$E$57</f>
        <v>5862.7126333130573</v>
      </c>
      <c r="F58" s="15"/>
      <c r="G58" s="15"/>
      <c r="H58" s="32"/>
      <c r="AE58" s="10"/>
      <c r="AF58" s="10"/>
      <c r="AG58" s="21"/>
      <c r="AP58" s="10"/>
      <c r="AQ58" s="10"/>
      <c r="AR58" s="10"/>
      <c r="AS58" s="10"/>
      <c r="AT58" s="10"/>
      <c r="AU58" s="10"/>
      <c r="AV58" s="10"/>
      <c r="AW58" s="10"/>
      <c r="AX58" s="10"/>
    </row>
    <row r="59" spans="1:50" x14ac:dyDescent="0.25">
      <c r="A59" s="108">
        <v>50</v>
      </c>
      <c r="B59" s="103">
        <v>915</v>
      </c>
      <c r="C59" s="161">
        <v>3525</v>
      </c>
      <c r="D59" s="161">
        <f t="shared" ref="D59:D76" si="7">C59*$D$57</f>
        <v>4779.4529568936005</v>
      </c>
      <c r="E59" s="162">
        <f t="shared" ref="E59:E76" si="8">D59*$E$57</f>
        <v>5862.7126333130573</v>
      </c>
      <c r="F59" s="15"/>
      <c r="G59" s="15"/>
      <c r="AE59" s="10"/>
      <c r="AF59" s="10"/>
      <c r="AG59" s="21"/>
      <c r="AP59" s="10"/>
      <c r="AQ59" s="10"/>
      <c r="AR59" s="10"/>
      <c r="AS59" s="10"/>
      <c r="AT59" s="10"/>
      <c r="AU59" s="10"/>
      <c r="AV59" s="10"/>
      <c r="AW59" s="10"/>
      <c r="AX59" s="10"/>
    </row>
    <row r="60" spans="1:50" x14ac:dyDescent="0.25">
      <c r="A60" s="108">
        <v>40</v>
      </c>
      <c r="B60" s="103">
        <v>915</v>
      </c>
      <c r="C60" s="161">
        <v>3525</v>
      </c>
      <c r="D60" s="161">
        <f t="shared" si="7"/>
        <v>4779.4529568936005</v>
      </c>
      <c r="E60" s="162">
        <f t="shared" si="8"/>
        <v>5862.7126333130573</v>
      </c>
      <c r="F60" s="15"/>
      <c r="G60" s="15"/>
      <c r="AE60" s="10"/>
      <c r="AF60" s="10"/>
      <c r="AG60" s="21"/>
      <c r="AP60" s="10"/>
      <c r="AQ60" s="10"/>
      <c r="AR60" s="10"/>
      <c r="AS60" s="10"/>
      <c r="AT60" s="10"/>
      <c r="AU60" s="10"/>
      <c r="AV60" s="10"/>
      <c r="AW60" s="10"/>
      <c r="AX60" s="10"/>
    </row>
    <row r="61" spans="1:50" x14ac:dyDescent="0.25">
      <c r="A61" s="108">
        <v>30</v>
      </c>
      <c r="B61" s="103">
        <v>600</v>
      </c>
      <c r="C61" s="161">
        <v>3525</v>
      </c>
      <c r="D61" s="161">
        <f t="shared" si="7"/>
        <v>4779.4529568936005</v>
      </c>
      <c r="E61" s="162">
        <f t="shared" si="8"/>
        <v>5862.7126333130573</v>
      </c>
      <c r="F61" s="15"/>
      <c r="G61" s="15"/>
      <c r="AE61" s="10"/>
      <c r="AF61" s="10"/>
      <c r="AG61" s="21"/>
      <c r="AP61" s="10"/>
      <c r="AQ61" s="10"/>
      <c r="AR61" s="10"/>
      <c r="AS61" s="10"/>
      <c r="AT61" s="10"/>
      <c r="AU61" s="10"/>
      <c r="AV61" s="10"/>
      <c r="AW61" s="10"/>
      <c r="AX61" s="10"/>
    </row>
    <row r="62" spans="1:50" x14ac:dyDescent="0.25">
      <c r="A62" s="108">
        <v>20</v>
      </c>
      <c r="B62" s="103">
        <v>600</v>
      </c>
      <c r="C62" s="161">
        <v>3525</v>
      </c>
      <c r="D62" s="161">
        <f t="shared" si="7"/>
        <v>4779.4529568936005</v>
      </c>
      <c r="E62" s="162">
        <f t="shared" si="8"/>
        <v>5862.7126333130573</v>
      </c>
      <c r="F62" s="15"/>
      <c r="G62" s="15"/>
      <c r="AE62" s="10"/>
      <c r="AF62" s="10"/>
      <c r="AG62" s="21"/>
      <c r="AP62" s="10"/>
      <c r="AQ62" s="10"/>
      <c r="AR62" s="10"/>
      <c r="AS62" s="10"/>
      <c r="AT62" s="10"/>
      <c r="AU62" s="10"/>
      <c r="AV62" s="10"/>
      <c r="AW62" s="10"/>
      <c r="AX62" s="10"/>
    </row>
    <row r="63" spans="1:50" x14ac:dyDescent="0.25">
      <c r="A63" s="8">
        <v>15</v>
      </c>
      <c r="B63" s="12">
        <v>600</v>
      </c>
      <c r="C63" s="12">
        <v>3525</v>
      </c>
      <c r="D63" s="12">
        <f t="shared" si="7"/>
        <v>4779.4529568936005</v>
      </c>
      <c r="E63" s="17">
        <f t="shared" si="8"/>
        <v>5862.7126333130573</v>
      </c>
      <c r="F63" s="17"/>
      <c r="G63" s="17"/>
      <c r="AE63" s="10"/>
      <c r="AF63" s="10"/>
      <c r="AG63" s="21"/>
      <c r="AP63" s="10"/>
      <c r="AQ63" s="10"/>
      <c r="AR63" s="10"/>
      <c r="AS63" s="10"/>
      <c r="AT63" s="10"/>
      <c r="AU63" s="10"/>
      <c r="AV63" s="10"/>
      <c r="AW63" s="10"/>
      <c r="AX63" s="10"/>
    </row>
    <row r="64" spans="1:50" x14ac:dyDescent="0.25">
      <c r="A64" s="8">
        <v>12</v>
      </c>
      <c r="B64" s="12">
        <v>450</v>
      </c>
      <c r="C64" s="12">
        <v>3130</v>
      </c>
      <c r="D64" s="12">
        <f t="shared" si="7"/>
        <v>4243.8830510856651</v>
      </c>
      <c r="E64" s="17">
        <f t="shared" si="8"/>
        <v>5205.756182204218</v>
      </c>
      <c r="F64" s="17"/>
      <c r="G64" s="17"/>
      <c r="AE64" s="10"/>
      <c r="AF64" s="10"/>
      <c r="AG64" s="21"/>
      <c r="AP64" s="10"/>
      <c r="AQ64" s="10"/>
      <c r="AR64" s="10"/>
      <c r="AS64" s="10"/>
      <c r="AT64" s="10"/>
      <c r="AU64" s="10"/>
      <c r="AV64" s="10"/>
      <c r="AW64" s="10"/>
      <c r="AX64" s="10"/>
    </row>
    <row r="65" spans="1:50" x14ac:dyDescent="0.25">
      <c r="A65" s="8">
        <v>10</v>
      </c>
      <c r="B65" s="12">
        <v>450</v>
      </c>
      <c r="C65" s="12">
        <v>2930</v>
      </c>
      <c r="D65" s="12">
        <f t="shared" si="7"/>
        <v>3972.7084152335456</v>
      </c>
      <c r="E65" s="17">
        <f t="shared" si="8"/>
        <v>4873.1200044275902</v>
      </c>
      <c r="F65" s="17"/>
      <c r="G65" s="17"/>
      <c r="AE65" s="10"/>
      <c r="AF65" s="10"/>
      <c r="AG65" s="21"/>
      <c r="AP65" s="10"/>
      <c r="AQ65" s="10"/>
      <c r="AR65" s="10"/>
      <c r="AS65" s="10"/>
      <c r="AT65" s="10"/>
      <c r="AU65" s="10"/>
      <c r="AV65" s="10"/>
      <c r="AW65" s="10"/>
      <c r="AX65" s="10"/>
    </row>
    <row r="66" spans="1:50" x14ac:dyDescent="0.25">
      <c r="A66" s="8">
        <v>7</v>
      </c>
      <c r="B66" s="12">
        <v>450</v>
      </c>
      <c r="C66" s="12">
        <v>2630</v>
      </c>
      <c r="D66" s="12">
        <f t="shared" si="7"/>
        <v>3565.9464614553672</v>
      </c>
      <c r="E66" s="17">
        <f t="shared" si="8"/>
        <v>4374.1657377626498</v>
      </c>
      <c r="F66" s="17"/>
      <c r="G66" s="17"/>
      <c r="AE66" s="10"/>
      <c r="AF66" s="10"/>
      <c r="AG66" s="21"/>
      <c r="AP66" s="10"/>
      <c r="AQ66" s="10"/>
      <c r="AR66" s="10"/>
      <c r="AS66" s="10"/>
      <c r="AT66" s="10"/>
      <c r="AU66" s="10"/>
      <c r="AV66" s="10"/>
      <c r="AW66" s="10"/>
      <c r="AX66" s="10"/>
    </row>
    <row r="67" spans="1:50" x14ac:dyDescent="0.25">
      <c r="A67" s="8">
        <v>5</v>
      </c>
      <c r="B67" s="12">
        <v>450</v>
      </c>
      <c r="C67" s="12">
        <v>2630</v>
      </c>
      <c r="D67" s="12">
        <f t="shared" si="7"/>
        <v>3565.9464614553672</v>
      </c>
      <c r="E67" s="17">
        <f t="shared" si="8"/>
        <v>4374.1657377626498</v>
      </c>
      <c r="F67" s="17"/>
      <c r="G67" s="17"/>
      <c r="AE67" s="10"/>
      <c r="AF67" s="10"/>
      <c r="AG67" s="21"/>
      <c r="AP67" s="10"/>
      <c r="AQ67" s="10"/>
      <c r="AR67" s="10"/>
      <c r="AS67" s="10"/>
      <c r="AT67" s="10"/>
      <c r="AU67" s="10"/>
      <c r="AV67" s="10"/>
      <c r="AW67" s="10"/>
      <c r="AX67" s="10"/>
    </row>
    <row r="68" spans="1:50" x14ac:dyDescent="0.25">
      <c r="A68" s="8">
        <v>4</v>
      </c>
      <c r="B68" s="12">
        <v>300</v>
      </c>
      <c r="C68" s="12">
        <v>2275</v>
      </c>
      <c r="D68" s="12">
        <f t="shared" si="7"/>
        <v>3084.6114828178556</v>
      </c>
      <c r="E68" s="17">
        <f t="shared" si="8"/>
        <v>3783.7365222091362</v>
      </c>
      <c r="F68" s="17"/>
      <c r="G68" s="17"/>
      <c r="AE68" s="10"/>
      <c r="AF68" s="10"/>
      <c r="AG68" s="21"/>
      <c r="AP68" s="10"/>
      <c r="AQ68" s="10"/>
      <c r="AR68" s="10"/>
      <c r="AS68" s="10"/>
      <c r="AT68" s="10"/>
      <c r="AU68" s="10"/>
      <c r="AV68" s="10"/>
      <c r="AW68" s="10"/>
      <c r="AX68" s="10"/>
    </row>
    <row r="69" spans="1:50" x14ac:dyDescent="0.25">
      <c r="A69" s="8">
        <v>3</v>
      </c>
      <c r="B69" s="12">
        <v>300</v>
      </c>
      <c r="C69" s="12">
        <v>1940</v>
      </c>
      <c r="D69" s="12">
        <f t="shared" si="7"/>
        <v>2630.3939677655558</v>
      </c>
      <c r="E69" s="17">
        <f t="shared" si="8"/>
        <v>3226.5709244332852</v>
      </c>
      <c r="F69" s="17"/>
      <c r="G69" s="17"/>
      <c r="AE69" s="10"/>
      <c r="AF69" s="10"/>
      <c r="AG69" s="21"/>
      <c r="AP69" s="10"/>
      <c r="AQ69" s="10"/>
      <c r="AR69" s="10"/>
      <c r="AS69" s="10"/>
      <c r="AT69" s="10"/>
      <c r="AU69" s="10"/>
      <c r="AV69" s="10"/>
      <c r="AW69" s="10"/>
      <c r="AX69" s="10"/>
    </row>
    <row r="70" spans="1:50" x14ac:dyDescent="0.25">
      <c r="A70" s="8">
        <v>2</v>
      </c>
      <c r="B70" s="12">
        <v>200</v>
      </c>
      <c r="C70" s="12">
        <v>1905</v>
      </c>
      <c r="D70" s="12">
        <f t="shared" si="7"/>
        <v>2582.9384064914352</v>
      </c>
      <c r="E70" s="17">
        <f t="shared" si="8"/>
        <v>3168.3595933223755</v>
      </c>
      <c r="F70" s="17"/>
      <c r="G70" s="17"/>
      <c r="AE70" s="10"/>
      <c r="AF70" s="10"/>
      <c r="AG70" s="21"/>
      <c r="AP70" s="10"/>
      <c r="AQ70" s="10"/>
      <c r="AR70" s="10"/>
      <c r="AS70" s="10"/>
      <c r="AT70" s="10"/>
      <c r="AU70" s="10"/>
      <c r="AV70" s="10"/>
      <c r="AW70" s="10"/>
      <c r="AX70" s="10"/>
    </row>
    <row r="71" spans="1:50" x14ac:dyDescent="0.25">
      <c r="A71" s="8">
        <v>1</v>
      </c>
      <c r="B71" s="12">
        <v>150</v>
      </c>
      <c r="C71" s="12">
        <v>1505</v>
      </c>
      <c r="D71" s="12">
        <f t="shared" si="7"/>
        <v>2040.5891347871966</v>
      </c>
      <c r="E71" s="17">
        <f t="shared" si="8"/>
        <v>2503.0872377691207</v>
      </c>
      <c r="F71" s="17"/>
      <c r="G71" s="17"/>
      <c r="AE71" s="10"/>
      <c r="AF71" s="10"/>
      <c r="AG71" s="21"/>
      <c r="AP71" s="10"/>
      <c r="AQ71" s="10"/>
      <c r="AR71" s="10"/>
      <c r="AS71" s="10"/>
      <c r="AT71" s="10"/>
      <c r="AU71" s="10"/>
      <c r="AV71" s="10"/>
      <c r="AW71" s="10"/>
      <c r="AX71" s="10"/>
    </row>
    <row r="72" spans="1:50" x14ac:dyDescent="0.25">
      <c r="A72" s="8">
        <v>0.5</v>
      </c>
      <c r="B72" s="12">
        <v>100</v>
      </c>
      <c r="C72" s="12">
        <v>1095</v>
      </c>
      <c r="D72" s="12">
        <f t="shared" si="7"/>
        <v>1484.6811312903524</v>
      </c>
      <c r="E72" s="17">
        <f t="shared" si="8"/>
        <v>1821.1830733270347</v>
      </c>
      <c r="F72" s="17"/>
      <c r="G72" s="17"/>
      <c r="AE72" s="10"/>
      <c r="AF72" s="10"/>
      <c r="AG72" s="21"/>
      <c r="AP72" s="10"/>
      <c r="AQ72" s="10"/>
      <c r="AR72" s="10"/>
      <c r="AS72" s="10"/>
      <c r="AT72" s="10"/>
      <c r="AU72" s="10"/>
      <c r="AV72" s="10"/>
      <c r="AW72" s="10"/>
      <c r="AX72" s="10"/>
    </row>
    <row r="73" spans="1:50" x14ac:dyDescent="0.25">
      <c r="A73" s="8">
        <v>0.4</v>
      </c>
      <c r="B73" s="12">
        <v>100</v>
      </c>
      <c r="C73" s="12">
        <v>1095</v>
      </c>
      <c r="D73" s="12">
        <f t="shared" si="7"/>
        <v>1484.6811312903524</v>
      </c>
      <c r="E73" s="17">
        <f t="shared" si="8"/>
        <v>1821.1830733270347</v>
      </c>
      <c r="F73" s="17"/>
      <c r="G73" s="17"/>
      <c r="AE73" s="10"/>
      <c r="AF73" s="10"/>
      <c r="AG73" s="21"/>
      <c r="AP73" s="10"/>
      <c r="AQ73" s="10"/>
      <c r="AR73" s="10"/>
      <c r="AS73" s="10"/>
      <c r="AT73" s="10"/>
      <c r="AU73" s="10"/>
      <c r="AV73" s="10"/>
      <c r="AW73" s="10"/>
      <c r="AX73" s="10"/>
    </row>
    <row r="74" spans="1:50" x14ac:dyDescent="0.25">
      <c r="A74" s="8">
        <v>0.3</v>
      </c>
      <c r="B74" s="12">
        <v>100</v>
      </c>
      <c r="C74" s="12">
        <v>915</v>
      </c>
      <c r="D74" s="12">
        <f t="shared" si="7"/>
        <v>1240.6239590234452</v>
      </c>
      <c r="E74" s="17">
        <f t="shared" si="8"/>
        <v>1521.8105133280701</v>
      </c>
      <c r="F74" s="17"/>
      <c r="G74" s="17"/>
      <c r="AE74" s="10"/>
      <c r="AF74" s="10"/>
      <c r="AG74" s="21"/>
      <c r="AP74" s="10"/>
      <c r="AQ74" s="10"/>
      <c r="AR74" s="10"/>
      <c r="AS74" s="10"/>
      <c r="AT74" s="10"/>
      <c r="AU74" s="10"/>
      <c r="AV74" s="10"/>
      <c r="AW74" s="10"/>
      <c r="AX74" s="10"/>
    </row>
    <row r="75" spans="1:50" x14ac:dyDescent="0.25">
      <c r="A75" s="8">
        <v>0.2</v>
      </c>
      <c r="B75" s="12">
        <v>100</v>
      </c>
      <c r="C75" s="12">
        <v>915</v>
      </c>
      <c r="D75" s="12">
        <f t="shared" si="7"/>
        <v>1240.6239590234452</v>
      </c>
      <c r="E75" s="17">
        <f t="shared" si="8"/>
        <v>1521.8105133280701</v>
      </c>
      <c r="F75" s="17"/>
      <c r="G75" s="17"/>
      <c r="AE75" s="10"/>
      <c r="AF75" s="10"/>
      <c r="AG75" s="21"/>
      <c r="AP75" s="10"/>
      <c r="AQ75" s="10"/>
      <c r="AR75" s="10"/>
      <c r="AS75" s="10"/>
      <c r="AT75" s="10"/>
      <c r="AU75" s="10"/>
      <c r="AV75" s="10"/>
      <c r="AW75" s="10"/>
      <c r="AX75" s="10"/>
    </row>
    <row r="76" spans="1:50" x14ac:dyDescent="0.25">
      <c r="A76" s="8">
        <v>0.1</v>
      </c>
      <c r="B76" s="12">
        <v>100</v>
      </c>
      <c r="C76" s="12">
        <v>770</v>
      </c>
      <c r="D76" s="12">
        <f t="shared" si="7"/>
        <v>1044.0223480306588</v>
      </c>
      <c r="E76" s="17">
        <f t="shared" si="8"/>
        <v>1280.6492844400152</v>
      </c>
      <c r="F76" s="17"/>
      <c r="G76" s="17"/>
      <c r="AE76" s="10"/>
      <c r="AF76" s="10"/>
      <c r="AG76" s="21"/>
      <c r="AP76" s="10"/>
      <c r="AQ76" s="10"/>
      <c r="AR76" s="10"/>
      <c r="AS76" s="10"/>
      <c r="AT76" s="10"/>
      <c r="AU76" s="10"/>
      <c r="AV76" s="10"/>
      <c r="AW76" s="10"/>
      <c r="AX76" s="10"/>
    </row>
    <row r="77" spans="1:50" x14ac:dyDescent="0.25">
      <c r="A77" s="8"/>
      <c r="B77" s="12"/>
      <c r="AE77" s="10"/>
      <c r="AF77" s="10"/>
      <c r="AG77" s="21"/>
      <c r="AP77" s="10"/>
      <c r="AQ77" s="10"/>
      <c r="AR77" s="10"/>
      <c r="AS77" s="10"/>
      <c r="AT77" s="10"/>
      <c r="AU77" s="10"/>
      <c r="AV77" s="10"/>
      <c r="AW77" s="10"/>
      <c r="AX77" s="10"/>
    </row>
    <row r="78" spans="1:50" ht="15" x14ac:dyDescent="0.2">
      <c r="A78" s="18"/>
      <c r="AE78" s="10"/>
      <c r="AF78" s="10"/>
      <c r="AG78" s="21"/>
      <c r="AP78" s="10"/>
      <c r="AQ78" s="10"/>
      <c r="AR78" s="10"/>
      <c r="AS78" s="10"/>
      <c r="AT78" s="10"/>
      <c r="AU78" s="10"/>
      <c r="AV78" s="10"/>
      <c r="AW78" s="10"/>
      <c r="AX78" s="10"/>
    </row>
    <row r="79" spans="1:50" x14ac:dyDescent="0.25">
      <c r="A79" s="18"/>
      <c r="B79" s="204" t="s">
        <v>110</v>
      </c>
      <c r="C79" s="205"/>
      <c r="AE79" s="10"/>
      <c r="AF79" s="10"/>
      <c r="AG79" s="21"/>
      <c r="AP79" s="10"/>
      <c r="AQ79" s="10"/>
      <c r="AR79" s="10"/>
      <c r="AS79" s="10"/>
      <c r="AT79" s="10"/>
      <c r="AU79" s="10"/>
      <c r="AV79" s="10"/>
      <c r="AW79" s="10"/>
      <c r="AX79" s="10"/>
    </row>
    <row r="80" spans="1:50" x14ac:dyDescent="0.25">
      <c r="A80" s="18"/>
      <c r="B80" s="158" t="s">
        <v>105</v>
      </c>
      <c r="C80" s="159" t="s">
        <v>106</v>
      </c>
      <c r="AE80" s="10"/>
      <c r="AF80" s="10"/>
      <c r="AG80" s="21"/>
      <c r="AP80" s="10"/>
      <c r="AQ80" s="10"/>
      <c r="AR80" s="10"/>
      <c r="AS80" s="10"/>
      <c r="AT80" s="10"/>
      <c r="AU80" s="10"/>
      <c r="AV80" s="10"/>
      <c r="AW80" s="10"/>
      <c r="AX80" s="10"/>
    </row>
    <row r="81" spans="1:50" x14ac:dyDescent="0.25">
      <c r="A81" s="117" t="s">
        <v>107</v>
      </c>
      <c r="B81" s="117">
        <v>1.3558731792605958</v>
      </c>
      <c r="C81" s="166">
        <v>1.2266493019576701</v>
      </c>
      <c r="AE81" s="10"/>
      <c r="AF81" s="10"/>
      <c r="AG81" s="21"/>
      <c r="AP81" s="10"/>
      <c r="AQ81" s="10"/>
      <c r="AR81" s="10"/>
      <c r="AS81" s="10"/>
      <c r="AT81" s="10"/>
      <c r="AU81" s="10"/>
      <c r="AV81" s="10"/>
      <c r="AW81" s="10"/>
      <c r="AX81" s="10"/>
    </row>
    <row r="82" spans="1:50" ht="15" x14ac:dyDescent="0.2">
      <c r="A82" s="160"/>
      <c r="B82" s="115"/>
      <c r="C82" s="115"/>
      <c r="AE82" s="10"/>
      <c r="AF82" s="10"/>
      <c r="AG82" s="21"/>
      <c r="AP82" s="10"/>
      <c r="AQ82" s="10"/>
      <c r="AR82" s="10"/>
      <c r="AS82" s="10"/>
      <c r="AT82" s="10"/>
      <c r="AU82" s="10"/>
      <c r="AV82" s="10"/>
      <c r="AW82" s="10"/>
      <c r="AX82" s="10"/>
    </row>
    <row r="83" spans="1:50" ht="15" x14ac:dyDescent="0.2">
      <c r="A83" s="160">
        <v>80000</v>
      </c>
      <c r="B83" s="115">
        <f>A83*$B$81</f>
        <v>108469.85434084767</v>
      </c>
      <c r="C83" s="115">
        <f t="shared" ref="C83:C88" si="9">B83*$C$81</f>
        <v>133054.47111065095</v>
      </c>
      <c r="AE83" s="10"/>
      <c r="AF83" s="10"/>
      <c r="AG83" s="21"/>
      <c r="AP83" s="10"/>
      <c r="AQ83" s="10"/>
      <c r="AR83" s="10"/>
      <c r="AS83" s="10"/>
      <c r="AT83" s="10"/>
      <c r="AU83" s="10"/>
      <c r="AV83" s="10"/>
      <c r="AW83" s="10"/>
      <c r="AX83" s="10"/>
    </row>
    <row r="84" spans="1:50" ht="15" x14ac:dyDescent="0.2">
      <c r="A84" s="160">
        <v>40000</v>
      </c>
      <c r="B84" s="115">
        <f t="shared" ref="B84:B88" si="10">A84*$B$81</f>
        <v>54234.927170423834</v>
      </c>
      <c r="C84" s="115">
        <f t="shared" si="9"/>
        <v>66527.235555325475</v>
      </c>
      <c r="AE84" s="10"/>
      <c r="AF84" s="10"/>
      <c r="AG84" s="21"/>
      <c r="AP84" s="10"/>
      <c r="AQ84" s="10"/>
      <c r="AR84" s="10"/>
      <c r="AS84" s="10"/>
      <c r="AT84" s="10"/>
      <c r="AU84" s="10"/>
      <c r="AV84" s="10"/>
      <c r="AW84" s="10"/>
      <c r="AX84" s="10"/>
    </row>
    <row r="85" spans="1:50" ht="15" x14ac:dyDescent="0.2">
      <c r="A85" s="160">
        <v>35000</v>
      </c>
      <c r="B85" s="115">
        <f t="shared" si="10"/>
        <v>47455.561274120853</v>
      </c>
      <c r="C85" s="115">
        <f t="shared" si="9"/>
        <v>58211.331110909785</v>
      </c>
      <c r="AE85" s="10"/>
      <c r="AF85" s="10"/>
      <c r="AG85" s="21"/>
      <c r="AP85" s="10"/>
      <c r="AQ85" s="10"/>
      <c r="AR85" s="10"/>
      <c r="AS85" s="10"/>
      <c r="AT85" s="10"/>
      <c r="AU85" s="10"/>
      <c r="AV85" s="10"/>
      <c r="AW85" s="10"/>
      <c r="AX85" s="10"/>
    </row>
    <row r="86" spans="1:50" ht="15" x14ac:dyDescent="0.2">
      <c r="A86" s="160">
        <v>100000</v>
      </c>
      <c r="B86" s="115">
        <f t="shared" si="10"/>
        <v>135587.31792605959</v>
      </c>
      <c r="C86" s="115">
        <f t="shared" si="9"/>
        <v>166318.08888831368</v>
      </c>
      <c r="AE86" s="10"/>
      <c r="AF86" s="10"/>
      <c r="AG86" s="21"/>
      <c r="AP86" s="10"/>
      <c r="AQ86" s="10"/>
      <c r="AR86" s="10"/>
      <c r="AS86" s="10"/>
      <c r="AT86" s="10"/>
      <c r="AU86" s="10"/>
      <c r="AV86" s="10"/>
      <c r="AW86" s="10"/>
      <c r="AX86" s="10"/>
    </row>
    <row r="87" spans="1:50" ht="15" x14ac:dyDescent="0.2">
      <c r="A87" s="160">
        <v>200000</v>
      </c>
      <c r="B87" s="115">
        <f t="shared" si="10"/>
        <v>271174.63585211919</v>
      </c>
      <c r="C87" s="115">
        <f t="shared" si="9"/>
        <v>332636.17777662736</v>
      </c>
      <c r="AE87" s="10"/>
      <c r="AF87" s="10"/>
      <c r="AG87" s="21"/>
      <c r="AP87" s="10"/>
      <c r="AQ87" s="10"/>
      <c r="AR87" s="10"/>
      <c r="AS87" s="10"/>
      <c r="AT87" s="10"/>
      <c r="AU87" s="10"/>
      <c r="AV87" s="10"/>
      <c r="AW87" s="10"/>
      <c r="AX87" s="10"/>
    </row>
    <row r="88" spans="1:50" ht="15" x14ac:dyDescent="0.2">
      <c r="A88" s="160">
        <v>10000</v>
      </c>
      <c r="B88" s="115">
        <f t="shared" si="10"/>
        <v>13558.731792605959</v>
      </c>
      <c r="C88" s="115">
        <f t="shared" si="9"/>
        <v>16631.808888831369</v>
      </c>
      <c r="AE88" s="10"/>
      <c r="AF88" s="10"/>
      <c r="AG88" s="21"/>
      <c r="AP88" s="10"/>
      <c r="AQ88" s="10"/>
      <c r="AR88" s="10"/>
      <c r="AS88" s="10"/>
      <c r="AT88" s="10"/>
      <c r="AU88" s="10"/>
      <c r="AV88" s="10"/>
      <c r="AW88" s="10"/>
      <c r="AX88" s="10"/>
    </row>
    <row r="89" spans="1:50" ht="15" x14ac:dyDescent="0.2">
      <c r="A89" s="167"/>
      <c r="B89" s="23"/>
      <c r="C89" s="23"/>
      <c r="AE89" s="10"/>
      <c r="AF89" s="10"/>
      <c r="AG89" s="21"/>
      <c r="AP89" s="10"/>
      <c r="AQ89" s="10"/>
      <c r="AR89" s="10"/>
      <c r="AS89" s="10"/>
      <c r="AT89" s="10"/>
      <c r="AU89" s="10"/>
      <c r="AV89" s="10"/>
      <c r="AW89" s="10"/>
      <c r="AX89" s="10"/>
    </row>
    <row r="90" spans="1:50" x14ac:dyDescent="0.25">
      <c r="A90" s="8"/>
      <c r="B90" s="12"/>
      <c r="C90" s="167"/>
      <c r="D90" s="23"/>
      <c r="E90" s="23"/>
      <c r="AE90" s="10"/>
      <c r="AF90" s="12"/>
      <c r="AG90" s="21"/>
      <c r="AP90" s="10"/>
      <c r="AQ90" s="10"/>
      <c r="AR90" s="10"/>
      <c r="AS90" s="10"/>
      <c r="AT90" s="10"/>
      <c r="AU90" s="10"/>
      <c r="AV90" s="10"/>
      <c r="AW90" s="10"/>
      <c r="AX90" s="10"/>
    </row>
    <row r="91" spans="1:50" s="32" customFormat="1" x14ac:dyDescent="0.25">
      <c r="A91" s="16" t="s">
        <v>69</v>
      </c>
      <c r="B91" s="33"/>
      <c r="AE91" s="14"/>
      <c r="AF91" s="36"/>
      <c r="AG91" s="35"/>
      <c r="AP91" s="14"/>
      <c r="AQ91" s="14"/>
      <c r="AR91" s="14"/>
      <c r="AS91" s="14"/>
      <c r="AT91" s="14"/>
      <c r="AU91" s="14"/>
      <c r="AV91" s="14"/>
      <c r="AW91" s="14"/>
      <c r="AX91" s="14"/>
    </row>
    <row r="92" spans="1:50" x14ac:dyDescent="0.25">
      <c r="B92" s="19"/>
      <c r="AE92" s="10"/>
      <c r="AF92" s="12"/>
      <c r="AG92" s="19"/>
      <c r="AJ92" s="15"/>
      <c r="AP92" s="10"/>
      <c r="AQ92" s="10"/>
      <c r="AR92" s="10"/>
      <c r="AS92" s="10"/>
      <c r="AT92" s="10"/>
      <c r="AU92" s="10"/>
      <c r="AV92" s="10"/>
      <c r="AW92" s="10"/>
      <c r="AX92" s="10"/>
    </row>
    <row r="93" spans="1:50" x14ac:dyDescent="0.25">
      <c r="B93" s="9" t="s">
        <v>37</v>
      </c>
      <c r="C93" s="22"/>
      <c r="D93" s="22"/>
      <c r="E93" s="22"/>
      <c r="F93" s="22"/>
      <c r="G93" s="22"/>
      <c r="H93" s="22"/>
      <c r="I93" s="22"/>
      <c r="J93" s="22"/>
      <c r="K93" s="22"/>
      <c r="L93" s="22"/>
      <c r="M93" s="22"/>
      <c r="N93" s="22"/>
      <c r="AE93" s="10"/>
      <c r="AF93" s="12"/>
      <c r="AG93" s="19"/>
      <c r="AJ93" s="15"/>
    </row>
    <row r="94" spans="1:50" x14ac:dyDescent="0.25">
      <c r="A94" s="15" t="s">
        <v>88</v>
      </c>
      <c r="B94" s="22">
        <v>0</v>
      </c>
      <c r="C94" s="22">
        <v>5</v>
      </c>
      <c r="D94" s="22">
        <v>10</v>
      </c>
      <c r="E94" s="22">
        <v>15</v>
      </c>
      <c r="F94" s="22">
        <v>20</v>
      </c>
      <c r="G94" s="22">
        <v>25</v>
      </c>
      <c r="H94" s="22">
        <v>30</v>
      </c>
      <c r="I94" s="22">
        <v>40</v>
      </c>
      <c r="J94" s="22">
        <v>50</v>
      </c>
      <c r="K94" s="22"/>
      <c r="L94" s="22"/>
      <c r="M94" s="22"/>
      <c r="N94" s="22"/>
      <c r="AE94" s="10"/>
      <c r="AF94" s="12"/>
      <c r="AG94" s="19"/>
      <c r="AQ94" s="10"/>
    </row>
    <row r="95" spans="1:50" x14ac:dyDescent="0.25">
      <c r="A95" s="106" t="s">
        <v>57</v>
      </c>
      <c r="B95" s="105">
        <f>E58*1000</f>
        <v>5862712.633313057</v>
      </c>
      <c r="C95" s="105">
        <f t="shared" ref="C95:E101" si="11">C$94*$B$35+$B95</f>
        <v>7637712.633313057</v>
      </c>
      <c r="D95" s="105">
        <f t="shared" si="11"/>
        <v>9412712.6333130561</v>
      </c>
      <c r="E95" s="105">
        <f t="shared" si="11"/>
        <v>11187712.633313056</v>
      </c>
      <c r="F95" s="105">
        <f t="shared" ref="F95:F100" si="12">F$94*$B$36+$B95</f>
        <v>14142712.633313056</v>
      </c>
      <c r="G95" s="99">
        <f>G$94*$B$36+$C$86+$B95</f>
        <v>16379030.72220137</v>
      </c>
      <c r="H95" s="99">
        <f>H$94*$B$36+$C$86+$B95</f>
        <v>18449030.72220137</v>
      </c>
      <c r="I95" s="99">
        <f>I$94*$B$36+$C$86+$B95</f>
        <v>22589030.72220137</v>
      </c>
      <c r="J95" s="99">
        <f t="shared" ref="J95:J113" si="13">VLOOKUP($J6,$A$30:$E$40,5,FALSE)*$J$94+$C$87+$B95</f>
        <v>153663798.92248541</v>
      </c>
      <c r="K95" s="13"/>
      <c r="L95" s="13"/>
      <c r="M95" s="13"/>
      <c r="N95" s="22"/>
      <c r="AE95" s="10"/>
      <c r="AF95" s="12"/>
      <c r="AG95" s="19"/>
      <c r="AQ95" s="10"/>
    </row>
    <row r="96" spans="1:50" x14ac:dyDescent="0.25">
      <c r="A96" s="106" t="s">
        <v>58</v>
      </c>
      <c r="B96" s="105">
        <f t="shared" ref="B96:B113" si="14">E59*1000</f>
        <v>5862712.633313057</v>
      </c>
      <c r="C96" s="105">
        <f t="shared" si="11"/>
        <v>7637712.633313057</v>
      </c>
      <c r="D96" s="105">
        <f t="shared" si="11"/>
        <v>9412712.6333130561</v>
      </c>
      <c r="E96" s="105">
        <f t="shared" si="11"/>
        <v>11187712.633313056</v>
      </c>
      <c r="F96" s="105">
        <f t="shared" si="12"/>
        <v>14142712.633313056</v>
      </c>
      <c r="G96" s="99">
        <f t="shared" ref="G96:G99" si="15">G$94*$B$36+$C$86+$B96</f>
        <v>16379030.72220137</v>
      </c>
      <c r="H96" s="99">
        <f t="shared" ref="H96:H99" si="16">H$94*$B$36+$C$86+$B96</f>
        <v>18449030.72220137</v>
      </c>
      <c r="I96" s="99">
        <f>I$94*$B$36+$C$86+$B96</f>
        <v>22589030.72220137</v>
      </c>
      <c r="J96" s="99">
        <f t="shared" si="13"/>
        <v>153663798.92248541</v>
      </c>
      <c r="K96" s="13"/>
      <c r="L96" s="13"/>
      <c r="M96" s="13"/>
      <c r="N96" s="22"/>
      <c r="AE96" s="10"/>
      <c r="AF96" s="12"/>
      <c r="AG96" s="19"/>
      <c r="AQ96" s="10"/>
    </row>
    <row r="97" spans="1:43" x14ac:dyDescent="0.25">
      <c r="A97" s="106" t="s">
        <v>59</v>
      </c>
      <c r="B97" s="105">
        <f t="shared" si="14"/>
        <v>5862712.633313057</v>
      </c>
      <c r="C97" s="105">
        <f t="shared" si="11"/>
        <v>7637712.633313057</v>
      </c>
      <c r="D97" s="105">
        <f t="shared" si="11"/>
        <v>9412712.6333130561</v>
      </c>
      <c r="E97" s="105">
        <f t="shared" si="11"/>
        <v>11187712.633313056</v>
      </c>
      <c r="F97" s="105">
        <f t="shared" si="12"/>
        <v>14142712.633313056</v>
      </c>
      <c r="G97" s="99">
        <f t="shared" si="15"/>
        <v>16379030.72220137</v>
      </c>
      <c r="H97" s="99">
        <f t="shared" si="16"/>
        <v>18449030.72220137</v>
      </c>
      <c r="I97" s="99">
        <f>I$94*$B$36+$C$86+$B97</f>
        <v>22589030.72220137</v>
      </c>
      <c r="J97" s="99">
        <f t="shared" si="13"/>
        <v>153663798.92248541</v>
      </c>
      <c r="K97" s="13"/>
      <c r="L97" s="13"/>
      <c r="M97" s="13"/>
      <c r="N97" s="22"/>
      <c r="AE97" s="10"/>
      <c r="AF97" s="12"/>
      <c r="AG97" s="19"/>
      <c r="AQ97" s="10"/>
    </row>
    <row r="98" spans="1:43" x14ac:dyDescent="0.25">
      <c r="A98" s="106" t="s">
        <v>60</v>
      </c>
      <c r="B98" s="105">
        <f t="shared" si="14"/>
        <v>5862712.633313057</v>
      </c>
      <c r="C98" s="105">
        <f t="shared" si="11"/>
        <v>7637712.633313057</v>
      </c>
      <c r="D98" s="105">
        <f t="shared" si="11"/>
        <v>9412712.6333130561</v>
      </c>
      <c r="E98" s="105">
        <f t="shared" si="11"/>
        <v>11187712.633313056</v>
      </c>
      <c r="F98" s="105">
        <f t="shared" si="12"/>
        <v>14142712.633313056</v>
      </c>
      <c r="G98" s="99">
        <f t="shared" si="15"/>
        <v>16379030.72220137</v>
      </c>
      <c r="H98" s="99">
        <f t="shared" si="16"/>
        <v>18449030.72220137</v>
      </c>
      <c r="I98" s="99">
        <f>I$94*$B$36+$C$86+$B98</f>
        <v>22589030.72220137</v>
      </c>
      <c r="J98" s="99">
        <f t="shared" si="13"/>
        <v>153663798.92248541</v>
      </c>
      <c r="K98" s="13"/>
      <c r="L98" s="13"/>
      <c r="M98" s="13"/>
      <c r="N98" s="22"/>
      <c r="AE98" s="10"/>
      <c r="AF98" s="12"/>
      <c r="AG98" s="19"/>
      <c r="AQ98" s="10"/>
    </row>
    <row r="99" spans="1:43" x14ac:dyDescent="0.25">
      <c r="A99" s="106" t="s">
        <v>61</v>
      </c>
      <c r="B99" s="105">
        <f t="shared" si="14"/>
        <v>5862712.633313057</v>
      </c>
      <c r="C99" s="105">
        <f t="shared" si="11"/>
        <v>7637712.633313057</v>
      </c>
      <c r="D99" s="105">
        <f t="shared" si="11"/>
        <v>9412712.6333130561</v>
      </c>
      <c r="E99" s="105">
        <f t="shared" si="11"/>
        <v>11187712.633313056</v>
      </c>
      <c r="F99" s="105">
        <f t="shared" si="12"/>
        <v>14142712.633313056</v>
      </c>
      <c r="G99" s="99">
        <f t="shared" si="15"/>
        <v>16379030.72220137</v>
      </c>
      <c r="H99" s="99">
        <f t="shared" si="16"/>
        <v>18449030.72220137</v>
      </c>
      <c r="I99" s="99">
        <f>I$94*$B$36+$C$86+$B99</f>
        <v>22589030.72220137</v>
      </c>
      <c r="J99" s="99">
        <f t="shared" si="13"/>
        <v>61872354.874206632</v>
      </c>
      <c r="K99" s="13"/>
      <c r="L99" s="13"/>
      <c r="M99" s="13"/>
      <c r="N99" s="22"/>
      <c r="AE99" s="10"/>
      <c r="AF99" s="12"/>
      <c r="AG99" s="19"/>
      <c r="AQ99" s="10"/>
    </row>
    <row r="100" spans="1:43" x14ac:dyDescent="0.25">
      <c r="A100" s="8" t="s">
        <v>44</v>
      </c>
      <c r="B100" s="13">
        <f t="shared" si="14"/>
        <v>5862712.633313057</v>
      </c>
      <c r="C100" s="13">
        <f t="shared" si="11"/>
        <v>7637712.633313057</v>
      </c>
      <c r="D100" s="13">
        <f t="shared" si="11"/>
        <v>9412712.6333130561</v>
      </c>
      <c r="E100" s="13">
        <f t="shared" si="11"/>
        <v>11187712.633313056</v>
      </c>
      <c r="F100" s="13">
        <f t="shared" si="12"/>
        <v>14142712.633313056</v>
      </c>
      <c r="G100" s="120">
        <f>G$94*$B$36+$C$86+$B100</f>
        <v>16379030.72220137</v>
      </c>
      <c r="H100" s="120">
        <f>H$94*$B$36+$C$86+$B100</f>
        <v>18449030.72220137</v>
      </c>
      <c r="I100" s="120">
        <f>I$94*$B$36+C86+$B100</f>
        <v>22589030.72220137</v>
      </c>
      <c r="J100" s="120">
        <f t="shared" si="13"/>
        <v>61872354.874206632</v>
      </c>
      <c r="K100" s="13"/>
      <c r="L100" s="13"/>
      <c r="M100" s="13"/>
      <c r="N100" s="13"/>
      <c r="AE100" s="10"/>
      <c r="AF100" s="12"/>
      <c r="AG100" s="19"/>
    </row>
    <row r="101" spans="1:43" x14ac:dyDescent="0.25">
      <c r="A101" s="8" t="s">
        <v>45</v>
      </c>
      <c r="B101" s="13">
        <f t="shared" si="14"/>
        <v>5205756.1822042176</v>
      </c>
      <c r="C101" s="13">
        <f t="shared" si="11"/>
        <v>6980756.1822042176</v>
      </c>
      <c r="D101" s="13">
        <f t="shared" si="11"/>
        <v>8755756.1822042167</v>
      </c>
      <c r="E101" s="13">
        <f t="shared" si="11"/>
        <v>10530756.182204217</v>
      </c>
      <c r="F101" s="13">
        <f>F$94*$B$35+$B101</f>
        <v>12305756.182204217</v>
      </c>
      <c r="G101" s="120">
        <f t="shared" ref="G101:G113" si="17">G$94*$B$36+$C$86+$B101</f>
        <v>15722074.27109253</v>
      </c>
      <c r="H101" s="120">
        <f t="shared" ref="H101:H113" si="18">H$94*$B$36+$C$86+$B101</f>
        <v>17792074.27109253</v>
      </c>
      <c r="I101" s="120">
        <f>I$94*$B$36+$C$86+$B101</f>
        <v>21932074.27109253</v>
      </c>
      <c r="J101" s="120">
        <f t="shared" si="13"/>
        <v>61215398.423097789</v>
      </c>
      <c r="K101" s="13"/>
      <c r="L101" s="13"/>
      <c r="M101" s="13"/>
      <c r="N101" s="13"/>
      <c r="Q101" s="13"/>
      <c r="R101" s="13"/>
      <c r="S101" s="13"/>
      <c r="T101" s="13"/>
      <c r="AE101" s="10"/>
      <c r="AF101" s="12"/>
      <c r="AG101" s="19"/>
    </row>
    <row r="102" spans="1:43" x14ac:dyDescent="0.25">
      <c r="A102" s="8" t="s">
        <v>46</v>
      </c>
      <c r="B102" s="13">
        <f t="shared" si="14"/>
        <v>4873120.0044275904</v>
      </c>
      <c r="C102" s="24">
        <f>C$94*$B$34+$B102</f>
        <v>6066870.0044275904</v>
      </c>
      <c r="D102" s="13">
        <f>D$94*$B$35+$B102</f>
        <v>8423120.0044275895</v>
      </c>
      <c r="E102" s="13">
        <f>E$94*$B$35+$B102</f>
        <v>10198120.004427589</v>
      </c>
      <c r="F102" s="13">
        <f>F$94*$B$35+$B102</f>
        <v>11973120.004427589</v>
      </c>
      <c r="G102" s="120">
        <f t="shared" si="17"/>
        <v>15389438.093315903</v>
      </c>
      <c r="H102" s="120">
        <f t="shared" si="18"/>
        <v>17459438.093315903</v>
      </c>
      <c r="I102" s="120">
        <f>I$94*$B$36+$C$86+$B102</f>
        <v>21599438.093315903</v>
      </c>
      <c r="J102" s="120">
        <f t="shared" si="13"/>
        <v>60882762.245321162</v>
      </c>
      <c r="K102" s="13"/>
      <c r="L102" s="13"/>
      <c r="M102" s="13"/>
      <c r="N102" s="13"/>
      <c r="S102" s="13"/>
      <c r="T102" s="13"/>
      <c r="AE102" s="21"/>
      <c r="AF102" s="21"/>
      <c r="AG102" s="19"/>
    </row>
    <row r="103" spans="1:43" x14ac:dyDescent="0.25">
      <c r="A103" s="8" t="s">
        <v>47</v>
      </c>
      <c r="B103" s="13">
        <f t="shared" si="14"/>
        <v>4374165.7377626495</v>
      </c>
      <c r="C103" s="13">
        <f>C$94*$B$34+$B103</f>
        <v>5567915.7377626495</v>
      </c>
      <c r="D103" s="13">
        <f>D$94*$B$34+$B103</f>
        <v>6761665.7377626495</v>
      </c>
      <c r="E103" s="13">
        <f>E$94*$B$35+$B103</f>
        <v>9699165.7377626486</v>
      </c>
      <c r="F103" s="13">
        <f>F$94*$B$35+$B103</f>
        <v>11474165.737762649</v>
      </c>
      <c r="G103" s="120">
        <f t="shared" si="17"/>
        <v>14890483.826650962</v>
      </c>
      <c r="H103" s="120">
        <f t="shared" si="18"/>
        <v>16960483.826650962</v>
      </c>
      <c r="I103" s="120">
        <f>I$94*$B$36+$C$86+$B103</f>
        <v>21100483.826650962</v>
      </c>
      <c r="J103" s="120">
        <f t="shared" si="13"/>
        <v>52449162.1870526</v>
      </c>
      <c r="K103" s="13"/>
      <c r="L103" s="13"/>
      <c r="M103" s="13"/>
      <c r="N103" s="13"/>
    </row>
    <row r="104" spans="1:43" x14ac:dyDescent="0.25">
      <c r="A104" s="8" t="s">
        <v>8</v>
      </c>
      <c r="B104" s="13">
        <f t="shared" si="14"/>
        <v>4374165.7377626495</v>
      </c>
      <c r="C104" s="13">
        <f>C$94*$B$34+$B104</f>
        <v>5567915.7377626495</v>
      </c>
      <c r="D104" s="13">
        <f>D$94*$B$34+$B104</f>
        <v>6761665.7377626495</v>
      </c>
      <c r="E104" s="13">
        <f t="shared" ref="E104:F106" si="19">E$94*$B$34+$B104</f>
        <v>7955415.7377626495</v>
      </c>
      <c r="F104" s="13">
        <f t="shared" si="19"/>
        <v>9149165.7377626486</v>
      </c>
      <c r="G104" s="120">
        <f t="shared" si="17"/>
        <v>14890483.826650962</v>
      </c>
      <c r="H104" s="120">
        <f t="shared" si="18"/>
        <v>16960483.826650962</v>
      </c>
      <c r="I104" s="120">
        <f>I$94*$B$36+$C$86+$B104</f>
        <v>21100483.826650962</v>
      </c>
      <c r="J104" s="120">
        <f t="shared" si="13"/>
        <v>52449162.1870526</v>
      </c>
      <c r="K104" s="13"/>
      <c r="L104" s="13"/>
      <c r="M104" s="13"/>
      <c r="N104" s="13"/>
      <c r="AQ104" s="10"/>
    </row>
    <row r="105" spans="1:43" x14ac:dyDescent="0.25">
      <c r="A105" s="8" t="s">
        <v>9</v>
      </c>
      <c r="B105" s="13">
        <f t="shared" si="14"/>
        <v>3783736.5222091363</v>
      </c>
      <c r="C105" s="13">
        <f>C$94*$B$34+$B105</f>
        <v>4977486.5222091358</v>
      </c>
      <c r="D105" s="13">
        <f>D$94*$B$34+$B105</f>
        <v>6171236.5222091358</v>
      </c>
      <c r="E105" s="13">
        <f t="shared" si="19"/>
        <v>7364986.5222091358</v>
      </c>
      <c r="F105" s="13">
        <f t="shared" si="19"/>
        <v>8558736.5222091358</v>
      </c>
      <c r="G105" s="120">
        <f t="shared" si="17"/>
        <v>14300054.611097449</v>
      </c>
      <c r="H105" s="120">
        <f t="shared" si="18"/>
        <v>16370054.611097449</v>
      </c>
      <c r="I105" s="120">
        <f t="shared" ref="I105:I112" si="20">I$94*$B$36+$C$86+$B105</f>
        <v>20510054.611097451</v>
      </c>
      <c r="J105" s="120">
        <f t="shared" si="13"/>
        <v>51858732.971499085</v>
      </c>
      <c r="K105" s="13"/>
      <c r="L105" s="13"/>
      <c r="M105" s="13"/>
      <c r="N105" s="13"/>
      <c r="AE105" s="15"/>
      <c r="AF105" s="19"/>
    </row>
    <row r="106" spans="1:43" x14ac:dyDescent="0.25">
      <c r="A106" s="8" t="s">
        <v>10</v>
      </c>
      <c r="B106" s="13">
        <f t="shared" si="14"/>
        <v>3226570.9244332854</v>
      </c>
      <c r="C106" s="13">
        <f>C$94*$B$33+$B106</f>
        <v>4239070.9244332854</v>
      </c>
      <c r="D106" s="13">
        <f>D$94*$B$34+$B106</f>
        <v>5614070.9244332854</v>
      </c>
      <c r="E106" s="13">
        <f t="shared" si="19"/>
        <v>6807820.9244332854</v>
      </c>
      <c r="F106" s="13">
        <f t="shared" si="19"/>
        <v>8001570.9244332854</v>
      </c>
      <c r="G106" s="120">
        <f t="shared" si="17"/>
        <v>13742889.013321599</v>
      </c>
      <c r="H106" s="120">
        <f t="shared" si="18"/>
        <v>15812889.013321599</v>
      </c>
      <c r="I106" s="120">
        <f t="shared" si="20"/>
        <v>19952889.013321601</v>
      </c>
      <c r="J106" s="120">
        <f t="shared" si="13"/>
        <v>35667625.453826271</v>
      </c>
      <c r="K106" s="13"/>
      <c r="L106" s="13"/>
      <c r="M106" s="13"/>
      <c r="N106" s="13"/>
      <c r="T106" s="15"/>
      <c r="AF106" s="19"/>
      <c r="AO106" s="13"/>
    </row>
    <row r="107" spans="1:43" x14ac:dyDescent="0.25">
      <c r="A107" s="8" t="s">
        <v>11</v>
      </c>
      <c r="B107" s="13">
        <f t="shared" si="14"/>
        <v>3168359.5933223753</v>
      </c>
      <c r="C107" s="13">
        <f>C$94*$B$33+$B107</f>
        <v>4180859.5933223753</v>
      </c>
      <c r="D107" s="13">
        <f>D$94*$B$33+$B107</f>
        <v>5193359.5933223758</v>
      </c>
      <c r="E107" s="13">
        <f>E$94*$B$33+$B107</f>
        <v>6205859.5933223758</v>
      </c>
      <c r="F107" s="13">
        <f>F$94*$B$34+$B107</f>
        <v>7943359.5933223758</v>
      </c>
      <c r="G107" s="120">
        <f t="shared" si="17"/>
        <v>13684677.682210689</v>
      </c>
      <c r="H107" s="120">
        <f t="shared" si="18"/>
        <v>15754677.682210689</v>
      </c>
      <c r="I107" s="120">
        <f t="shared" si="20"/>
        <v>19894677.682210688</v>
      </c>
      <c r="J107" s="120">
        <f t="shared" si="13"/>
        <v>35609414.122715361</v>
      </c>
      <c r="K107" s="13"/>
      <c r="L107" s="13"/>
      <c r="M107" s="13"/>
      <c r="N107" s="13"/>
      <c r="AO107" s="13"/>
    </row>
    <row r="108" spans="1:43" x14ac:dyDescent="0.25">
      <c r="A108" s="8" t="s">
        <v>12</v>
      </c>
      <c r="B108" s="13">
        <f t="shared" si="14"/>
        <v>2503087.2377691208</v>
      </c>
      <c r="C108" s="13">
        <f>C$94*$B$32+$B108</f>
        <v>3440587.2377691208</v>
      </c>
      <c r="D108" s="13">
        <f>D$94*$B$32+$B108</f>
        <v>4378087.2377691213</v>
      </c>
      <c r="E108" s="13">
        <f>E$94*$B$33+$B108</f>
        <v>5540587.2377691213</v>
      </c>
      <c r="F108" s="13">
        <f>F$94*$B$33+$B108</f>
        <v>6553087.2377691213</v>
      </c>
      <c r="G108" s="120">
        <f t="shared" si="17"/>
        <v>13019405.326657435</v>
      </c>
      <c r="H108" s="120">
        <f t="shared" si="18"/>
        <v>15089405.326657435</v>
      </c>
      <c r="I108" s="120">
        <f t="shared" si="20"/>
        <v>19229405.326657433</v>
      </c>
      <c r="J108" s="120">
        <f t="shared" si="13"/>
        <v>30069041.59859208</v>
      </c>
      <c r="K108" s="13"/>
      <c r="L108" s="13"/>
      <c r="M108" s="13"/>
      <c r="N108" s="13"/>
      <c r="AO108" s="13"/>
    </row>
    <row r="109" spans="1:43" x14ac:dyDescent="0.25">
      <c r="A109" s="8" t="s">
        <v>13</v>
      </c>
      <c r="B109" s="13">
        <f t="shared" si="14"/>
        <v>1821183.0733270347</v>
      </c>
      <c r="C109" s="13">
        <f>C$94*$B$31+$B109</f>
        <v>2571183.0733270347</v>
      </c>
      <c r="D109" s="13">
        <f t="shared" ref="D109:F110" si="21">D$94*$B$32+$B109</f>
        <v>3696183.0733270347</v>
      </c>
      <c r="E109" s="13">
        <f t="shared" si="21"/>
        <v>4633683.0733270347</v>
      </c>
      <c r="F109" s="13">
        <f t="shared" si="21"/>
        <v>5571183.0733270347</v>
      </c>
      <c r="G109" s="120">
        <f t="shared" si="17"/>
        <v>12337501.162215348</v>
      </c>
      <c r="H109" s="120">
        <f t="shared" si="18"/>
        <v>14407501.162215348</v>
      </c>
      <c r="I109" s="120">
        <f t="shared" si="20"/>
        <v>18547501.162215348</v>
      </c>
      <c r="J109" s="120">
        <f t="shared" si="13"/>
        <v>29387137.434149995</v>
      </c>
      <c r="K109" s="13"/>
      <c r="L109" s="13"/>
      <c r="M109" s="13"/>
      <c r="N109" s="13"/>
      <c r="AE109" s="10"/>
      <c r="AF109" s="10"/>
      <c r="AG109" s="10"/>
      <c r="AH109" s="10"/>
      <c r="AI109" s="10"/>
      <c r="AJ109" s="10"/>
      <c r="AK109" s="10"/>
      <c r="AL109" s="10"/>
      <c r="AM109" s="10"/>
      <c r="AN109" s="10"/>
      <c r="AO109" s="13"/>
    </row>
    <row r="110" spans="1:43" x14ac:dyDescent="0.25">
      <c r="A110" s="8" t="s">
        <v>14</v>
      </c>
      <c r="B110" s="13">
        <f t="shared" si="14"/>
        <v>1821183.0733270347</v>
      </c>
      <c r="C110" s="13">
        <f>C$94*$B$31+$B110</f>
        <v>2571183.0733270347</v>
      </c>
      <c r="D110" s="13">
        <f t="shared" si="21"/>
        <v>3696183.0733270347</v>
      </c>
      <c r="E110" s="13">
        <f t="shared" si="21"/>
        <v>4633683.0733270347</v>
      </c>
      <c r="F110" s="13">
        <f t="shared" si="21"/>
        <v>5571183.0733270347</v>
      </c>
      <c r="G110" s="120">
        <f t="shared" si="17"/>
        <v>12337501.162215348</v>
      </c>
      <c r="H110" s="120">
        <f t="shared" si="18"/>
        <v>14407501.162215348</v>
      </c>
      <c r="I110" s="120">
        <f t="shared" si="20"/>
        <v>18547501.162215348</v>
      </c>
      <c r="J110" s="120">
        <f t="shared" si="13"/>
        <v>27369854.605776191</v>
      </c>
      <c r="K110" s="13"/>
      <c r="L110" s="13"/>
      <c r="M110" s="13"/>
      <c r="N110" s="13"/>
      <c r="AE110" s="15"/>
      <c r="AF110" s="10"/>
      <c r="AG110" s="10"/>
      <c r="AH110" s="10"/>
      <c r="AI110" s="10"/>
      <c r="AJ110" s="10"/>
      <c r="AK110" s="10"/>
      <c r="AL110" s="10"/>
      <c r="AM110" s="10"/>
      <c r="AN110" s="10"/>
      <c r="AO110" s="13"/>
    </row>
    <row r="111" spans="1:43" x14ac:dyDescent="0.25">
      <c r="A111" s="8" t="s">
        <v>15</v>
      </c>
      <c r="B111" s="13">
        <f t="shared" si="14"/>
        <v>1521810.5133280701</v>
      </c>
      <c r="C111" s="13">
        <f>C$94*$B$31+$B111</f>
        <v>2271810.5133280698</v>
      </c>
      <c r="D111" s="24">
        <f t="shared" ref="D111:E113" si="22">D$94*$B$31+$B111</f>
        <v>3021810.5133280698</v>
      </c>
      <c r="E111" s="13">
        <f t="shared" si="22"/>
        <v>3771810.5133280698</v>
      </c>
      <c r="F111" s="13">
        <f>F$94*$B$32+$B111</f>
        <v>5271810.5133280698</v>
      </c>
      <c r="G111" s="120">
        <f t="shared" si="17"/>
        <v>12038128.602216383</v>
      </c>
      <c r="H111" s="120">
        <f t="shared" si="18"/>
        <v>14108128.602216383</v>
      </c>
      <c r="I111" s="120">
        <f t="shared" si="20"/>
        <v>18248128.602216385</v>
      </c>
      <c r="J111" s="120">
        <f t="shared" si="13"/>
        <v>27070482.045777228</v>
      </c>
      <c r="K111" s="13"/>
      <c r="L111" s="13"/>
      <c r="M111" s="13"/>
      <c r="N111" s="13"/>
      <c r="AE111" s="10"/>
      <c r="AF111" s="13"/>
      <c r="AG111" s="13"/>
      <c r="AH111" s="13"/>
      <c r="AI111" s="13"/>
      <c r="AJ111" s="13"/>
      <c r="AK111" s="13"/>
      <c r="AL111" s="13"/>
      <c r="AM111" s="13"/>
      <c r="AN111" s="13"/>
      <c r="AO111" s="13"/>
    </row>
    <row r="112" spans="1:43" x14ac:dyDescent="0.25">
      <c r="A112" s="8" t="s">
        <v>16</v>
      </c>
      <c r="B112" s="13">
        <f t="shared" si="14"/>
        <v>1521810.5133280701</v>
      </c>
      <c r="C112" s="13">
        <f>C$94*$B$31+$B112</f>
        <v>2271810.5133280698</v>
      </c>
      <c r="D112" s="13">
        <f t="shared" si="22"/>
        <v>3021810.5133280698</v>
      </c>
      <c r="E112" s="13">
        <f t="shared" si="22"/>
        <v>3771810.5133280698</v>
      </c>
      <c r="F112" s="13">
        <f>F$94*$B$31+$B112</f>
        <v>4521810.5133280698</v>
      </c>
      <c r="G112" s="120">
        <f t="shared" si="17"/>
        <v>12038128.602216383</v>
      </c>
      <c r="H112" s="120">
        <f t="shared" si="18"/>
        <v>14108128.602216383</v>
      </c>
      <c r="I112" s="120">
        <f t="shared" si="20"/>
        <v>18248128.602216385</v>
      </c>
      <c r="J112" s="120">
        <f t="shared" si="13"/>
        <v>27070482.045777228</v>
      </c>
      <c r="K112" s="13"/>
      <c r="L112" s="13"/>
      <c r="M112" s="13"/>
      <c r="N112" s="13"/>
      <c r="AE112" s="10"/>
      <c r="AF112" s="13"/>
      <c r="AG112" s="13"/>
      <c r="AH112" s="13"/>
      <c r="AI112" s="13"/>
      <c r="AJ112" s="13"/>
      <c r="AK112" s="13"/>
      <c r="AL112" s="13"/>
      <c r="AM112" s="13"/>
      <c r="AN112" s="13"/>
      <c r="AO112" s="13"/>
    </row>
    <row r="113" spans="1:41" x14ac:dyDescent="0.25">
      <c r="A113" s="8" t="s">
        <v>17</v>
      </c>
      <c r="B113" s="13">
        <f t="shared" si="14"/>
        <v>1280649.2844400152</v>
      </c>
      <c r="C113" s="13">
        <f>C$94*$B$30+$B113</f>
        <v>1905649.2844400152</v>
      </c>
      <c r="D113" s="13">
        <f t="shared" si="22"/>
        <v>2780649.2844400154</v>
      </c>
      <c r="E113" s="13">
        <f t="shared" si="22"/>
        <v>3530649.2844400154</v>
      </c>
      <c r="F113" s="13">
        <f>F$94*$B$31+$B113</f>
        <v>4280649.2844400154</v>
      </c>
      <c r="G113" s="120">
        <f t="shared" si="17"/>
        <v>11796967.373328328</v>
      </c>
      <c r="H113" s="120">
        <f t="shared" si="18"/>
        <v>13866967.373328328</v>
      </c>
      <c r="I113" s="120">
        <f>I$94*$B$36+$C$86+$B113</f>
        <v>18006967.373328328</v>
      </c>
      <c r="J113" s="120">
        <f t="shared" si="13"/>
        <v>21786113.745954666</v>
      </c>
      <c r="K113" s="13"/>
      <c r="L113" s="13"/>
      <c r="M113" s="13"/>
      <c r="N113" s="13"/>
      <c r="AE113" s="10"/>
      <c r="AF113" s="13"/>
      <c r="AG113" s="13"/>
      <c r="AH113" s="13"/>
      <c r="AI113" s="13"/>
      <c r="AJ113" s="13"/>
      <c r="AK113" s="13"/>
      <c r="AL113" s="13"/>
      <c r="AM113" s="13"/>
      <c r="AN113" s="13"/>
      <c r="AO113" s="13"/>
    </row>
    <row r="114" spans="1:41" x14ac:dyDescent="0.25">
      <c r="A114" s="8"/>
      <c r="B114" s="13"/>
      <c r="C114" s="13"/>
      <c r="D114" s="13"/>
      <c r="E114" s="13"/>
      <c r="F114" s="13"/>
      <c r="G114" s="13"/>
      <c r="H114" s="13"/>
      <c r="I114" s="13"/>
      <c r="J114" s="120"/>
      <c r="K114" s="13"/>
      <c r="L114" s="13"/>
      <c r="M114" s="13"/>
      <c r="N114" s="13"/>
      <c r="AE114" s="10"/>
      <c r="AF114" s="13"/>
      <c r="AG114" s="13"/>
      <c r="AH114" s="13"/>
      <c r="AI114" s="13"/>
      <c r="AJ114" s="13"/>
      <c r="AK114" s="13"/>
      <c r="AL114" s="13"/>
      <c r="AM114" s="13"/>
      <c r="AN114" s="13"/>
      <c r="AO114" s="13"/>
    </row>
    <row r="115" spans="1:41" x14ac:dyDescent="0.25">
      <c r="A115" s="16" t="s">
        <v>70</v>
      </c>
      <c r="B115" s="13"/>
      <c r="C115" s="13"/>
      <c r="D115" s="13"/>
      <c r="E115" s="13"/>
      <c r="F115" s="13"/>
      <c r="G115" s="13"/>
      <c r="H115" s="13"/>
      <c r="I115" s="13"/>
      <c r="J115" s="13"/>
      <c r="K115" s="13"/>
      <c r="L115" s="13"/>
      <c r="M115" s="13"/>
      <c r="N115" s="13"/>
      <c r="O115" s="26"/>
      <c r="P115" s="15"/>
      <c r="AE115" s="10"/>
      <c r="AF115" s="13"/>
      <c r="AG115" s="13"/>
      <c r="AH115" s="13"/>
      <c r="AI115" s="13"/>
      <c r="AJ115" s="13"/>
      <c r="AK115" s="13"/>
      <c r="AL115" s="13"/>
      <c r="AM115" s="13"/>
      <c r="AN115" s="13"/>
      <c r="AO115" s="13"/>
    </row>
    <row r="116" spans="1:41" x14ac:dyDescent="0.25">
      <c r="A116" s="8"/>
      <c r="B116" s="13"/>
      <c r="C116" s="13"/>
      <c r="D116" s="13"/>
      <c r="E116" s="13"/>
      <c r="F116" s="13"/>
      <c r="G116" s="13"/>
      <c r="H116" s="13"/>
      <c r="I116" s="13"/>
      <c r="J116" s="13"/>
      <c r="K116" s="13"/>
      <c r="L116" s="13"/>
      <c r="M116" s="13"/>
      <c r="N116" s="13"/>
      <c r="O116" s="26"/>
      <c r="P116" s="15"/>
      <c r="AE116" s="10"/>
      <c r="AF116" s="13"/>
      <c r="AG116" s="13"/>
      <c r="AH116" s="13"/>
      <c r="AI116" s="13"/>
      <c r="AJ116" s="13"/>
      <c r="AK116" s="13"/>
      <c r="AL116" s="13"/>
      <c r="AM116" s="13"/>
      <c r="AN116" s="13"/>
      <c r="AO116" s="13"/>
    </row>
    <row r="117" spans="1:41" x14ac:dyDescent="0.25">
      <c r="A117" s="18"/>
      <c r="B117" s="83">
        <v>1</v>
      </c>
      <c r="C117" s="13"/>
      <c r="F117" s="13"/>
      <c r="G117" s="13"/>
      <c r="K117" s="13"/>
      <c r="L117" s="13"/>
      <c r="M117" s="13"/>
      <c r="N117" s="13"/>
      <c r="O117" s="26"/>
      <c r="P117" s="15"/>
      <c r="AE117" s="10"/>
      <c r="AF117" s="13"/>
      <c r="AG117" s="13"/>
      <c r="AH117" s="13"/>
      <c r="AI117" s="13"/>
      <c r="AJ117" s="13"/>
      <c r="AK117" s="13"/>
      <c r="AL117" s="13"/>
      <c r="AM117" s="13"/>
      <c r="AN117" s="13"/>
      <c r="AO117" s="13"/>
    </row>
    <row r="118" spans="1:41" x14ac:dyDescent="0.25">
      <c r="A118" s="18"/>
      <c r="B118" s="84">
        <f>B117*0.909</f>
        <v>0.90900000000000003</v>
      </c>
      <c r="F118" s="13"/>
      <c r="G118" s="13"/>
      <c r="K118" s="13"/>
      <c r="L118" s="13"/>
      <c r="M118" s="13"/>
      <c r="N118" s="13"/>
      <c r="O118" s="26"/>
      <c r="P118" s="15"/>
      <c r="AE118" s="10"/>
      <c r="AF118" s="13"/>
      <c r="AG118" s="13"/>
      <c r="AH118" s="13"/>
      <c r="AI118" s="13"/>
      <c r="AJ118" s="13"/>
      <c r="AK118" s="13"/>
      <c r="AL118" s="13"/>
      <c r="AM118" s="13"/>
      <c r="AN118" s="13"/>
      <c r="AO118" s="13"/>
    </row>
    <row r="119" spans="1:41" x14ac:dyDescent="0.25">
      <c r="A119" s="18"/>
      <c r="B119" s="84">
        <f t="shared" ref="B119:B126" si="23">B118*0.909</f>
        <v>0.82628100000000004</v>
      </c>
      <c r="F119" s="13"/>
      <c r="G119" s="13"/>
      <c r="K119" s="13"/>
      <c r="L119" s="13"/>
      <c r="M119" s="13"/>
      <c r="N119" s="13"/>
      <c r="O119" s="26"/>
      <c r="P119" s="15"/>
      <c r="AE119" s="10"/>
      <c r="AF119" s="13"/>
      <c r="AG119" s="13"/>
      <c r="AH119" s="13"/>
      <c r="AI119" s="13"/>
      <c r="AJ119" s="13"/>
      <c r="AK119" s="13"/>
      <c r="AL119" s="13"/>
      <c r="AM119" s="13"/>
      <c r="AN119" s="13"/>
      <c r="AO119" s="13"/>
    </row>
    <row r="120" spans="1:41" x14ac:dyDescent="0.25">
      <c r="A120" s="18"/>
      <c r="B120" s="84">
        <f t="shared" si="23"/>
        <v>0.75108942900000009</v>
      </c>
      <c r="F120" s="13"/>
      <c r="G120" s="13"/>
      <c r="K120" s="13"/>
      <c r="L120" s="13"/>
      <c r="M120" s="13"/>
      <c r="N120" s="13"/>
      <c r="O120" s="26"/>
      <c r="P120" s="15"/>
      <c r="AE120" s="10"/>
      <c r="AF120" s="13"/>
      <c r="AG120" s="13"/>
      <c r="AH120" s="13"/>
      <c r="AI120" s="13"/>
      <c r="AJ120" s="13"/>
      <c r="AK120" s="13"/>
      <c r="AL120" s="13"/>
      <c r="AM120" s="13"/>
      <c r="AN120" s="13"/>
      <c r="AO120" s="13"/>
    </row>
    <row r="121" spans="1:41" x14ac:dyDescent="0.25">
      <c r="A121" s="18"/>
      <c r="B121" s="84">
        <f t="shared" si="23"/>
        <v>0.68274029096100008</v>
      </c>
      <c r="F121" s="13"/>
      <c r="G121" s="13"/>
      <c r="K121" s="13"/>
      <c r="L121" s="13"/>
      <c r="M121" s="13"/>
      <c r="N121" s="13"/>
      <c r="O121" s="26"/>
      <c r="P121" s="15"/>
      <c r="AE121" s="10"/>
      <c r="AF121" s="13"/>
      <c r="AG121" s="13"/>
      <c r="AH121" s="13"/>
      <c r="AI121" s="13"/>
      <c r="AJ121" s="13"/>
      <c r="AK121" s="13"/>
      <c r="AL121" s="13"/>
      <c r="AM121" s="13"/>
      <c r="AN121" s="13"/>
      <c r="AO121" s="13"/>
    </row>
    <row r="122" spans="1:41" x14ac:dyDescent="0.25">
      <c r="A122" s="18"/>
      <c r="B122" s="84">
        <f t="shared" si="23"/>
        <v>0.62061092448354904</v>
      </c>
      <c r="F122" s="13"/>
      <c r="G122" s="13"/>
      <c r="K122" s="13"/>
      <c r="L122" s="13"/>
      <c r="M122" s="13"/>
      <c r="N122" s="13"/>
      <c r="O122" s="26"/>
      <c r="P122" s="15"/>
      <c r="AE122" s="10"/>
      <c r="AF122" s="13"/>
      <c r="AG122" s="13"/>
      <c r="AH122" s="13"/>
      <c r="AI122" s="13"/>
      <c r="AJ122" s="13"/>
      <c r="AK122" s="13"/>
      <c r="AL122" s="13"/>
      <c r="AM122" s="13"/>
      <c r="AN122" s="13"/>
      <c r="AO122" s="13"/>
    </row>
    <row r="123" spans="1:41" x14ac:dyDescent="0.25">
      <c r="A123" s="18"/>
      <c r="B123" s="84">
        <f t="shared" si="23"/>
        <v>0.56413533035554608</v>
      </c>
      <c r="F123" s="13"/>
      <c r="G123" s="13"/>
      <c r="K123" s="13"/>
      <c r="L123" s="13"/>
      <c r="M123" s="13"/>
      <c r="N123" s="13"/>
      <c r="O123" s="26"/>
      <c r="P123" s="15"/>
      <c r="AE123" s="10"/>
      <c r="AF123" s="13"/>
      <c r="AG123" s="13"/>
      <c r="AH123" s="13"/>
      <c r="AI123" s="13"/>
      <c r="AJ123" s="13"/>
      <c r="AK123" s="13"/>
      <c r="AL123" s="13"/>
      <c r="AM123" s="13"/>
      <c r="AN123" s="13"/>
      <c r="AO123" s="13"/>
    </row>
    <row r="124" spans="1:41" x14ac:dyDescent="0.25">
      <c r="A124" s="18"/>
      <c r="B124" s="84">
        <f t="shared" si="23"/>
        <v>0.51279901529319138</v>
      </c>
      <c r="F124" s="13"/>
      <c r="G124" s="13"/>
      <c r="K124" s="13"/>
      <c r="L124" s="13"/>
      <c r="M124" s="13"/>
      <c r="N124" s="13"/>
      <c r="O124" s="26"/>
      <c r="P124" s="15"/>
      <c r="AE124" s="10"/>
      <c r="AF124" s="13"/>
      <c r="AG124" s="13"/>
      <c r="AH124" s="13"/>
      <c r="AI124" s="13"/>
      <c r="AJ124" s="13"/>
      <c r="AK124" s="13"/>
      <c r="AL124" s="13"/>
      <c r="AM124" s="13"/>
      <c r="AN124" s="13"/>
      <c r="AO124" s="13"/>
    </row>
    <row r="125" spans="1:41" x14ac:dyDescent="0.25">
      <c r="A125" s="18"/>
      <c r="B125" s="84">
        <f t="shared" si="23"/>
        <v>0.46613430490151098</v>
      </c>
      <c r="F125" s="13"/>
      <c r="G125" s="13"/>
      <c r="K125" s="13"/>
      <c r="L125" s="13"/>
      <c r="M125" s="13"/>
      <c r="N125" s="13"/>
      <c r="O125" s="26"/>
      <c r="P125" s="15"/>
      <c r="AE125" s="10"/>
      <c r="AF125" s="13"/>
      <c r="AG125" s="13"/>
      <c r="AH125" s="13"/>
      <c r="AI125" s="13"/>
      <c r="AJ125" s="13"/>
      <c r="AK125" s="13"/>
      <c r="AL125" s="13"/>
      <c r="AM125" s="13"/>
      <c r="AN125" s="13"/>
      <c r="AO125" s="13"/>
    </row>
    <row r="126" spans="1:41" x14ac:dyDescent="0.25">
      <c r="A126" s="18"/>
      <c r="B126" s="84">
        <f t="shared" si="23"/>
        <v>0.42371608315547349</v>
      </c>
      <c r="F126" s="13"/>
      <c r="G126" s="13"/>
      <c r="H126" s="13"/>
      <c r="I126" s="13"/>
      <c r="J126" s="13"/>
      <c r="K126" s="13"/>
      <c r="L126" s="13"/>
      <c r="M126" s="13"/>
      <c r="N126" s="13"/>
      <c r="O126" s="26"/>
      <c r="P126" s="15"/>
      <c r="AE126" s="10"/>
      <c r="AF126" s="13"/>
      <c r="AG126" s="13"/>
      <c r="AH126" s="13"/>
      <c r="AI126" s="13"/>
      <c r="AJ126" s="13"/>
      <c r="AK126" s="13"/>
      <c r="AL126" s="13"/>
      <c r="AM126" s="13"/>
      <c r="AN126" s="13"/>
      <c r="AO126" s="13"/>
    </row>
    <row r="127" spans="1:41" x14ac:dyDescent="0.25">
      <c r="A127" s="18"/>
      <c r="B127" s="84">
        <f>SUM(B117:B126)</f>
        <v>6.756506378150271</v>
      </c>
      <c r="F127" s="13"/>
      <c r="G127" s="13"/>
      <c r="H127" s="13"/>
      <c r="I127" s="13"/>
      <c r="J127" s="13"/>
      <c r="K127" s="13"/>
      <c r="L127" s="13"/>
      <c r="M127" s="13"/>
      <c r="N127" s="13"/>
      <c r="O127" s="26"/>
      <c r="P127" s="15"/>
      <c r="AE127" s="10"/>
      <c r="AF127" s="13"/>
      <c r="AG127" s="13"/>
      <c r="AH127" s="13"/>
      <c r="AI127" s="13"/>
      <c r="AJ127" s="13"/>
      <c r="AK127" s="13"/>
      <c r="AL127" s="13"/>
      <c r="AM127" s="13"/>
      <c r="AN127" s="13"/>
      <c r="AO127" s="13"/>
    </row>
    <row r="128" spans="1:41" x14ac:dyDescent="0.25">
      <c r="A128" s="18"/>
      <c r="B128" s="84"/>
      <c r="F128" s="13"/>
      <c r="G128" s="13"/>
      <c r="H128" s="13"/>
      <c r="I128" s="13"/>
      <c r="J128" s="13"/>
      <c r="K128" s="13"/>
      <c r="L128" s="13"/>
      <c r="M128" s="13"/>
      <c r="N128" s="13"/>
      <c r="O128" s="26"/>
      <c r="P128" s="15"/>
      <c r="AE128" s="10"/>
      <c r="AF128" s="13"/>
      <c r="AG128" s="13"/>
      <c r="AH128" s="13"/>
      <c r="AI128" s="13"/>
      <c r="AJ128" s="13"/>
      <c r="AK128" s="13"/>
      <c r="AL128" s="13"/>
      <c r="AM128" s="13"/>
      <c r="AN128" s="13"/>
      <c r="AO128" s="13"/>
    </row>
    <row r="129" spans="1:41" ht="16.5" thickBot="1" x14ac:dyDescent="0.3">
      <c r="A129" s="18"/>
      <c r="B129" s="82">
        <f>B127</f>
        <v>6.756506378150271</v>
      </c>
      <c r="C129" s="16" t="s">
        <v>27</v>
      </c>
      <c r="F129" s="13"/>
      <c r="G129" s="13"/>
      <c r="H129" s="13"/>
      <c r="I129" s="13"/>
      <c r="J129" s="13"/>
      <c r="K129" s="13"/>
      <c r="L129" s="13"/>
      <c r="M129" s="13"/>
      <c r="N129" s="13"/>
      <c r="O129" s="26"/>
      <c r="P129" s="15"/>
      <c r="AE129" s="10"/>
      <c r="AF129" s="13"/>
      <c r="AG129" s="13"/>
      <c r="AH129" s="13"/>
      <c r="AI129" s="13"/>
      <c r="AJ129" s="13"/>
      <c r="AK129" s="13"/>
      <c r="AL129" s="13"/>
      <c r="AM129" s="13"/>
      <c r="AN129" s="13"/>
      <c r="AO129" s="13"/>
    </row>
    <row r="130" spans="1:41" x14ac:dyDescent="0.25">
      <c r="A130" s="18"/>
      <c r="B130" s="26"/>
      <c r="C130" s="16"/>
      <c r="F130" s="13"/>
      <c r="G130" s="13"/>
      <c r="H130" s="13"/>
      <c r="I130" s="13"/>
      <c r="J130" s="13"/>
      <c r="K130" s="13"/>
      <c r="L130" s="13"/>
      <c r="M130" s="13"/>
      <c r="N130" s="13"/>
      <c r="O130" s="26"/>
      <c r="P130" s="15"/>
      <c r="AE130" s="10"/>
      <c r="AF130" s="13"/>
      <c r="AG130" s="13"/>
      <c r="AH130" s="13"/>
      <c r="AI130" s="13"/>
      <c r="AJ130" s="13"/>
      <c r="AK130" s="13"/>
      <c r="AL130" s="13"/>
      <c r="AM130" s="13"/>
      <c r="AN130" s="13"/>
      <c r="AO130" s="13"/>
    </row>
    <row r="131" spans="1:41" x14ac:dyDescent="0.25">
      <c r="A131" s="18"/>
      <c r="B131" s="26"/>
      <c r="C131" s="16"/>
      <c r="F131" s="13"/>
      <c r="G131" s="13"/>
      <c r="H131" s="13"/>
      <c r="I131" s="13"/>
      <c r="J131" s="13"/>
      <c r="K131" s="13"/>
      <c r="L131" s="13"/>
      <c r="M131" s="13"/>
      <c r="N131" s="13"/>
      <c r="O131" s="26"/>
      <c r="P131" s="15"/>
      <c r="AE131" s="10"/>
      <c r="AF131" s="13"/>
      <c r="AG131" s="13"/>
      <c r="AH131" s="13"/>
      <c r="AI131" s="13"/>
      <c r="AJ131" s="13"/>
      <c r="AK131" s="13"/>
      <c r="AL131" s="13"/>
      <c r="AM131" s="13"/>
      <c r="AN131" s="13"/>
      <c r="AO131" s="13"/>
    </row>
    <row r="132" spans="1:41" x14ac:dyDescent="0.25">
      <c r="A132" s="8"/>
      <c r="B132" s="13"/>
      <c r="C132" s="13"/>
      <c r="D132" s="13"/>
      <c r="E132" s="13"/>
      <c r="F132" s="13"/>
      <c r="G132" s="13"/>
      <c r="H132" s="13"/>
      <c r="I132" s="13"/>
      <c r="J132" s="13"/>
      <c r="K132" s="13"/>
      <c r="L132" s="13"/>
      <c r="M132" s="13"/>
      <c r="N132" s="13"/>
      <c r="O132" s="26"/>
      <c r="P132" s="15"/>
      <c r="AE132" s="10"/>
      <c r="AF132" s="13"/>
      <c r="AG132" s="13"/>
      <c r="AH132" s="13"/>
      <c r="AI132" s="13"/>
      <c r="AJ132" s="13"/>
      <c r="AK132" s="13"/>
      <c r="AL132" s="13"/>
      <c r="AM132" s="13"/>
      <c r="AN132" s="13"/>
      <c r="AO132" s="13"/>
    </row>
    <row r="133" spans="1:41" x14ac:dyDescent="0.25">
      <c r="A133" s="112" t="s">
        <v>71</v>
      </c>
      <c r="B133" s="13"/>
      <c r="C133" s="13"/>
      <c r="D133" s="13"/>
      <c r="E133" s="27"/>
      <c r="F133" s="13"/>
      <c r="G133" s="13"/>
      <c r="H133" s="13"/>
      <c r="I133" s="13"/>
      <c r="J133" s="13"/>
      <c r="K133" s="13"/>
      <c r="L133" s="13"/>
      <c r="M133" s="13"/>
      <c r="N133" s="13"/>
      <c r="AE133" s="10"/>
      <c r="AF133" s="13"/>
      <c r="AG133" s="13"/>
      <c r="AH133" s="13"/>
      <c r="AI133" s="13"/>
      <c r="AJ133" s="13"/>
      <c r="AK133" s="13"/>
      <c r="AL133" s="13"/>
      <c r="AM133" s="13"/>
      <c r="AN133" s="13"/>
      <c r="AO133" s="21"/>
    </row>
    <row r="134" spans="1:41" x14ac:dyDescent="0.25">
      <c r="B134" s="9" t="s">
        <v>37</v>
      </c>
      <c r="C134" s="22"/>
      <c r="D134" s="22"/>
      <c r="E134" s="22"/>
      <c r="F134" s="22"/>
      <c r="G134" s="22"/>
      <c r="H134" s="22"/>
      <c r="I134" s="22"/>
      <c r="J134" s="22"/>
      <c r="K134" s="22"/>
      <c r="L134" s="22"/>
      <c r="M134" s="22"/>
      <c r="N134" s="22"/>
      <c r="AE134" s="10"/>
      <c r="AF134" s="13"/>
      <c r="AG134" s="13"/>
      <c r="AH134" s="13"/>
      <c r="AI134" s="13"/>
      <c r="AJ134" s="13"/>
      <c r="AK134" s="13"/>
      <c r="AL134" s="13"/>
      <c r="AM134" s="13"/>
      <c r="AN134" s="13"/>
      <c r="AO134" s="21"/>
    </row>
    <row r="135" spans="1:41" x14ac:dyDescent="0.25">
      <c r="A135" s="15" t="s">
        <v>88</v>
      </c>
      <c r="B135" s="22">
        <v>0</v>
      </c>
      <c r="C135" s="22">
        <v>5</v>
      </c>
      <c r="D135" s="22">
        <v>10</v>
      </c>
      <c r="E135" s="22">
        <v>15</v>
      </c>
      <c r="F135" s="22">
        <v>20</v>
      </c>
      <c r="G135" s="22">
        <v>25</v>
      </c>
      <c r="H135" s="22">
        <v>30</v>
      </c>
      <c r="I135" s="22">
        <v>40</v>
      </c>
      <c r="J135" s="22">
        <v>50</v>
      </c>
      <c r="K135" s="22"/>
      <c r="L135" s="22"/>
      <c r="M135" s="22"/>
      <c r="N135" s="22"/>
      <c r="P135" s="10"/>
      <c r="AE135" s="10"/>
      <c r="AF135" s="13"/>
      <c r="AG135" s="13"/>
      <c r="AH135" s="13"/>
      <c r="AI135" s="13"/>
      <c r="AJ135" s="13"/>
      <c r="AK135" s="13"/>
      <c r="AL135" s="13"/>
      <c r="AM135" s="13"/>
      <c r="AN135" s="13"/>
      <c r="AO135" s="21"/>
    </row>
    <row r="136" spans="1:41" x14ac:dyDescent="0.25">
      <c r="A136" s="106" t="s">
        <v>57</v>
      </c>
      <c r="B136" s="105">
        <f t="shared" ref="B136:J136" si="24">B95/$B$129</f>
        <v>867713.62375566829</v>
      </c>
      <c r="C136" s="105">
        <f>C95/$B$129</f>
        <v>1130423.3587364769</v>
      </c>
      <c r="D136" s="105">
        <f t="shared" si="24"/>
        <v>1393133.0937172852</v>
      </c>
      <c r="E136" s="105">
        <f t="shared" si="24"/>
        <v>1655842.8286980935</v>
      </c>
      <c r="F136" s="105">
        <f t="shared" si="24"/>
        <v>2093199.0353844536</v>
      </c>
      <c r="G136" s="105">
        <f t="shared" si="24"/>
        <v>2424186.3776180521</v>
      </c>
      <c r="H136" s="105">
        <f t="shared" si="24"/>
        <v>2730557.7305252482</v>
      </c>
      <c r="I136" s="105">
        <f t="shared" si="24"/>
        <v>3343300.436339641</v>
      </c>
      <c r="J136" s="105">
        <f t="shared" si="24"/>
        <v>22743085.009053741</v>
      </c>
      <c r="K136" s="13"/>
      <c r="L136" s="13"/>
      <c r="M136" s="13"/>
      <c r="N136" s="22"/>
      <c r="P136" s="10"/>
      <c r="AE136" s="10"/>
      <c r="AF136" s="13"/>
      <c r="AG136" s="13"/>
      <c r="AH136" s="13"/>
      <c r="AI136" s="13"/>
      <c r="AJ136" s="13"/>
      <c r="AK136" s="13"/>
      <c r="AL136" s="13"/>
      <c r="AM136" s="13"/>
      <c r="AN136" s="13"/>
      <c r="AO136" s="21"/>
    </row>
    <row r="137" spans="1:41" x14ac:dyDescent="0.25">
      <c r="A137" s="106" t="s">
        <v>58</v>
      </c>
      <c r="B137" s="105">
        <f t="shared" ref="B137:J137" si="25">B96/$B$129</f>
        <v>867713.62375566829</v>
      </c>
      <c r="C137" s="105">
        <f t="shared" si="25"/>
        <v>1130423.3587364769</v>
      </c>
      <c r="D137" s="105">
        <f t="shared" si="25"/>
        <v>1393133.0937172852</v>
      </c>
      <c r="E137" s="105">
        <f t="shared" si="25"/>
        <v>1655842.8286980935</v>
      </c>
      <c r="F137" s="105">
        <f t="shared" si="25"/>
        <v>2093199.0353844536</v>
      </c>
      <c r="G137" s="105">
        <f t="shared" si="25"/>
        <v>2424186.3776180521</v>
      </c>
      <c r="H137" s="105">
        <f t="shared" si="25"/>
        <v>2730557.7305252482</v>
      </c>
      <c r="I137" s="105">
        <f t="shared" si="25"/>
        <v>3343300.436339641</v>
      </c>
      <c r="J137" s="105">
        <f t="shared" si="25"/>
        <v>22743085.009053741</v>
      </c>
      <c r="K137" s="13"/>
      <c r="L137" s="13"/>
      <c r="M137" s="13"/>
      <c r="N137" s="22"/>
      <c r="P137" s="10"/>
      <c r="AE137" s="10"/>
      <c r="AF137" s="13"/>
      <c r="AG137" s="13"/>
      <c r="AH137" s="13"/>
      <c r="AI137" s="13"/>
      <c r="AJ137" s="13"/>
      <c r="AK137" s="13"/>
      <c r="AL137" s="13"/>
      <c r="AM137" s="13"/>
      <c r="AN137" s="13"/>
      <c r="AO137" s="21"/>
    </row>
    <row r="138" spans="1:41" x14ac:dyDescent="0.25">
      <c r="A138" s="106" t="s">
        <v>59</v>
      </c>
      <c r="B138" s="105">
        <f t="shared" ref="B138:J138" si="26">B97/$B$129</f>
        <v>867713.62375566829</v>
      </c>
      <c r="C138" s="105">
        <f t="shared" si="26"/>
        <v>1130423.3587364769</v>
      </c>
      <c r="D138" s="105">
        <f t="shared" si="26"/>
        <v>1393133.0937172852</v>
      </c>
      <c r="E138" s="105">
        <f t="shared" si="26"/>
        <v>1655842.8286980935</v>
      </c>
      <c r="F138" s="105">
        <f t="shared" si="26"/>
        <v>2093199.0353844536</v>
      </c>
      <c r="G138" s="105">
        <f t="shared" si="26"/>
        <v>2424186.3776180521</v>
      </c>
      <c r="H138" s="105">
        <f t="shared" si="26"/>
        <v>2730557.7305252482</v>
      </c>
      <c r="I138" s="105">
        <f t="shared" si="26"/>
        <v>3343300.436339641</v>
      </c>
      <c r="J138" s="105">
        <f t="shared" si="26"/>
        <v>22743085.009053741</v>
      </c>
      <c r="K138" s="13"/>
      <c r="L138" s="13"/>
      <c r="M138" s="13"/>
      <c r="N138" s="22"/>
      <c r="P138" s="10"/>
      <c r="AE138" s="10"/>
      <c r="AF138" s="13"/>
      <c r="AG138" s="13"/>
      <c r="AH138" s="13"/>
      <c r="AI138" s="13"/>
      <c r="AJ138" s="13"/>
      <c r="AK138" s="13"/>
      <c r="AL138" s="13"/>
      <c r="AM138" s="13"/>
      <c r="AN138" s="13"/>
      <c r="AO138" s="21"/>
    </row>
    <row r="139" spans="1:41" x14ac:dyDescent="0.25">
      <c r="A139" s="106" t="s">
        <v>60</v>
      </c>
      <c r="B139" s="105">
        <f t="shared" ref="B139:J139" si="27">B98/$B$129</f>
        <v>867713.62375566829</v>
      </c>
      <c r="C139" s="105">
        <f t="shared" si="27"/>
        <v>1130423.3587364769</v>
      </c>
      <c r="D139" s="105">
        <f t="shared" si="27"/>
        <v>1393133.0937172852</v>
      </c>
      <c r="E139" s="105">
        <f t="shared" si="27"/>
        <v>1655842.8286980935</v>
      </c>
      <c r="F139" s="105">
        <f t="shared" si="27"/>
        <v>2093199.0353844536</v>
      </c>
      <c r="G139" s="105">
        <f t="shared" si="27"/>
        <v>2424186.3776180521</v>
      </c>
      <c r="H139" s="105">
        <f t="shared" si="27"/>
        <v>2730557.7305252482</v>
      </c>
      <c r="I139" s="105">
        <f t="shared" si="27"/>
        <v>3343300.436339641</v>
      </c>
      <c r="J139" s="105">
        <f t="shared" si="27"/>
        <v>22743085.009053741</v>
      </c>
      <c r="K139" s="13"/>
      <c r="L139" s="13"/>
      <c r="M139" s="13"/>
      <c r="N139" s="22"/>
      <c r="P139" s="10"/>
      <c r="AE139" s="10"/>
      <c r="AF139" s="13"/>
      <c r="AG139" s="13"/>
      <c r="AH139" s="13"/>
      <c r="AI139" s="13"/>
      <c r="AJ139" s="13"/>
      <c r="AK139" s="13"/>
      <c r="AL139" s="13"/>
      <c r="AM139" s="13"/>
      <c r="AN139" s="13"/>
      <c r="AO139" s="21"/>
    </row>
    <row r="140" spans="1:41" x14ac:dyDescent="0.25">
      <c r="A140" s="106" t="s">
        <v>61</v>
      </c>
      <c r="B140" s="105">
        <f t="shared" ref="B140:J140" si="28">B99/$B$129</f>
        <v>867713.62375566829</v>
      </c>
      <c r="C140" s="105">
        <f t="shared" si="28"/>
        <v>1130423.3587364769</v>
      </c>
      <c r="D140" s="105">
        <f t="shared" si="28"/>
        <v>1393133.0937172852</v>
      </c>
      <c r="E140" s="105">
        <f t="shared" si="28"/>
        <v>1655842.8286980935</v>
      </c>
      <c r="F140" s="105">
        <f t="shared" si="28"/>
        <v>2093199.0353844536</v>
      </c>
      <c r="G140" s="105">
        <f t="shared" si="28"/>
        <v>2424186.3776180521</v>
      </c>
      <c r="H140" s="105">
        <f t="shared" si="28"/>
        <v>2730557.7305252482</v>
      </c>
      <c r="I140" s="105">
        <f t="shared" si="28"/>
        <v>3343300.436339641</v>
      </c>
      <c r="J140" s="105">
        <f t="shared" si="28"/>
        <v>9157447.8600796387</v>
      </c>
      <c r="K140" s="13"/>
      <c r="L140" s="13"/>
      <c r="M140" s="13"/>
      <c r="N140" s="22"/>
      <c r="P140" s="10"/>
      <c r="AE140" s="10"/>
      <c r="AF140" s="13"/>
      <c r="AG140" s="13"/>
      <c r="AH140" s="13"/>
      <c r="AI140" s="13"/>
      <c r="AJ140" s="13"/>
      <c r="AK140" s="13"/>
      <c r="AL140" s="13"/>
      <c r="AM140" s="13"/>
      <c r="AN140" s="13"/>
      <c r="AO140" s="21"/>
    </row>
    <row r="141" spans="1:41" x14ac:dyDescent="0.25">
      <c r="A141" s="8" t="s">
        <v>44</v>
      </c>
      <c r="B141" s="13">
        <f t="shared" ref="B141:J141" si="29">B100/$B$129</f>
        <v>867713.62375566829</v>
      </c>
      <c r="C141" s="13">
        <f t="shared" si="29"/>
        <v>1130423.3587364769</v>
      </c>
      <c r="D141" s="13">
        <f t="shared" si="29"/>
        <v>1393133.0937172852</v>
      </c>
      <c r="E141" s="13">
        <f t="shared" si="29"/>
        <v>1655842.8286980935</v>
      </c>
      <c r="F141" s="13">
        <f t="shared" si="29"/>
        <v>2093199.0353844536</v>
      </c>
      <c r="G141" s="13">
        <f t="shared" si="29"/>
        <v>2424186.3776180521</v>
      </c>
      <c r="H141" s="13">
        <f t="shared" si="29"/>
        <v>2730557.7305252482</v>
      </c>
      <c r="I141" s="13">
        <f t="shared" si="29"/>
        <v>3343300.436339641</v>
      </c>
      <c r="J141" s="13">
        <f t="shared" si="29"/>
        <v>9157447.8600796387</v>
      </c>
      <c r="K141" s="13"/>
      <c r="L141" s="13"/>
      <c r="M141" s="13"/>
      <c r="N141" s="13"/>
      <c r="AE141" s="10"/>
      <c r="AF141" s="13"/>
      <c r="AG141" s="13"/>
      <c r="AH141" s="13"/>
      <c r="AI141" s="13"/>
      <c r="AJ141" s="13"/>
      <c r="AK141" s="13"/>
      <c r="AL141" s="13"/>
      <c r="AM141" s="13"/>
      <c r="AN141" s="13"/>
      <c r="AO141" s="21"/>
    </row>
    <row r="142" spans="1:41" x14ac:dyDescent="0.25">
      <c r="A142" s="8" t="s">
        <v>45</v>
      </c>
      <c r="B142" s="13">
        <f t="shared" ref="B142:J142" si="30">B101/$B$129</f>
        <v>770480.46591638052</v>
      </c>
      <c r="C142" s="13">
        <f t="shared" si="30"/>
        <v>1033190.2008971891</v>
      </c>
      <c r="D142" s="13">
        <f t="shared" si="30"/>
        <v>1295899.9358779974</v>
      </c>
      <c r="E142" s="13">
        <f t="shared" si="30"/>
        <v>1558609.670858806</v>
      </c>
      <c r="F142" s="13">
        <f t="shared" si="30"/>
        <v>1821319.4058396143</v>
      </c>
      <c r="G142" s="13">
        <f t="shared" si="30"/>
        <v>2326953.2197787645</v>
      </c>
      <c r="H142" s="13">
        <f t="shared" si="30"/>
        <v>2633324.5726859607</v>
      </c>
      <c r="I142" s="13">
        <f t="shared" si="30"/>
        <v>3246067.2785003535</v>
      </c>
      <c r="J142" s="13">
        <f t="shared" si="30"/>
        <v>9060214.7022403516</v>
      </c>
      <c r="K142" s="13"/>
      <c r="L142" s="13"/>
      <c r="M142" s="13"/>
      <c r="N142" s="13"/>
      <c r="AE142" s="10"/>
      <c r="AF142" s="13"/>
      <c r="AG142" s="13"/>
      <c r="AH142" s="13"/>
      <c r="AI142" s="13"/>
      <c r="AJ142" s="13"/>
      <c r="AK142" s="13"/>
      <c r="AL142" s="13"/>
      <c r="AM142" s="13"/>
      <c r="AN142" s="13"/>
      <c r="AO142" s="21"/>
    </row>
    <row r="143" spans="1:41" x14ac:dyDescent="0.25">
      <c r="A143" s="8" t="s">
        <v>46</v>
      </c>
      <c r="B143" s="13">
        <f t="shared" ref="B143:J143" si="31">B102/$B$129</f>
        <v>721248.48726357671</v>
      </c>
      <c r="C143" s="13">
        <f t="shared" si="31"/>
        <v>897930.03438095143</v>
      </c>
      <c r="D143" s="13">
        <f t="shared" si="31"/>
        <v>1246667.9572251935</v>
      </c>
      <c r="E143" s="13">
        <f t="shared" si="31"/>
        <v>1509377.6922060021</v>
      </c>
      <c r="F143" s="13">
        <f t="shared" si="31"/>
        <v>1772087.4271868106</v>
      </c>
      <c r="G143" s="13">
        <f t="shared" si="31"/>
        <v>2277721.2411259604</v>
      </c>
      <c r="H143" s="13">
        <f t="shared" si="31"/>
        <v>2584092.594033157</v>
      </c>
      <c r="I143" s="13">
        <f t="shared" si="31"/>
        <v>3196835.2998475498</v>
      </c>
      <c r="J143" s="13">
        <f t="shared" si="31"/>
        <v>9010982.7235875465</v>
      </c>
      <c r="K143" s="13"/>
      <c r="L143" s="13"/>
      <c r="M143" s="13"/>
      <c r="N143" s="13"/>
      <c r="AE143" s="10"/>
      <c r="AF143" s="13"/>
      <c r="AG143" s="13"/>
      <c r="AH143" s="13"/>
      <c r="AI143" s="13"/>
      <c r="AJ143" s="13"/>
      <c r="AK143" s="13"/>
      <c r="AL143" s="13"/>
      <c r="AM143" s="13"/>
      <c r="AN143" s="13"/>
      <c r="AO143" s="21"/>
    </row>
    <row r="144" spans="1:41" x14ac:dyDescent="0.25">
      <c r="A144" s="8" t="s">
        <v>47</v>
      </c>
      <c r="B144" s="13">
        <f t="shared" ref="B144:J144" si="32">B103/$B$129</f>
        <v>647400.51928437094</v>
      </c>
      <c r="C144" s="13">
        <f t="shared" si="32"/>
        <v>824082.06640174566</v>
      </c>
      <c r="D144" s="13">
        <f t="shared" si="32"/>
        <v>1000763.6135191204</v>
      </c>
      <c r="E144" s="13">
        <f t="shared" si="32"/>
        <v>1435529.7242267963</v>
      </c>
      <c r="F144" s="13">
        <f t="shared" si="32"/>
        <v>1698239.4592076049</v>
      </c>
      <c r="G144" s="13">
        <f t="shared" si="32"/>
        <v>2203873.2731467546</v>
      </c>
      <c r="H144" s="13">
        <f t="shared" si="32"/>
        <v>2510244.6260539512</v>
      </c>
      <c r="I144" s="13">
        <f t="shared" si="32"/>
        <v>3122987.331868344</v>
      </c>
      <c r="J144" s="13">
        <f t="shared" si="32"/>
        <v>7762763.6609160742</v>
      </c>
      <c r="K144" s="13"/>
      <c r="L144" s="13"/>
      <c r="M144" s="13"/>
      <c r="N144" s="13"/>
      <c r="AE144" s="10"/>
      <c r="AF144" s="13"/>
      <c r="AG144" s="13"/>
      <c r="AH144" s="13"/>
      <c r="AI144" s="13"/>
      <c r="AJ144" s="13"/>
      <c r="AK144" s="13"/>
      <c r="AL144" s="13"/>
      <c r="AM144" s="13"/>
      <c r="AN144" s="13"/>
      <c r="AO144" s="21"/>
    </row>
    <row r="145" spans="1:41" x14ac:dyDescent="0.25">
      <c r="A145" s="8" t="s">
        <v>8</v>
      </c>
      <c r="B145" s="13">
        <f t="shared" ref="B145:J145" si="33">B104/$B$129</f>
        <v>647400.51928437094</v>
      </c>
      <c r="C145" s="13">
        <f t="shared" si="33"/>
        <v>824082.06640174566</v>
      </c>
      <c r="D145" s="13">
        <f t="shared" si="33"/>
        <v>1000763.6135191204</v>
      </c>
      <c r="E145" s="13">
        <f t="shared" si="33"/>
        <v>1177445.1606364951</v>
      </c>
      <c r="F145" s="13">
        <f t="shared" si="33"/>
        <v>1354126.7077538697</v>
      </c>
      <c r="G145" s="13">
        <f t="shared" si="33"/>
        <v>2203873.2731467546</v>
      </c>
      <c r="H145" s="13">
        <f t="shared" si="33"/>
        <v>2510244.6260539512</v>
      </c>
      <c r="I145" s="13">
        <f t="shared" si="33"/>
        <v>3122987.331868344</v>
      </c>
      <c r="J145" s="13">
        <f t="shared" si="33"/>
        <v>7762763.6609160742</v>
      </c>
      <c r="K145" s="13"/>
      <c r="L145" s="13"/>
      <c r="M145" s="13"/>
      <c r="N145" s="13"/>
      <c r="AE145" s="10"/>
      <c r="AF145" s="13"/>
      <c r="AG145" s="13"/>
      <c r="AH145" s="13"/>
      <c r="AI145" s="13"/>
      <c r="AJ145" s="13"/>
      <c r="AK145" s="13"/>
      <c r="AL145" s="13"/>
      <c r="AM145" s="13"/>
      <c r="AN145" s="13"/>
      <c r="AO145" s="21"/>
    </row>
    <row r="146" spans="1:41" x14ac:dyDescent="0.25">
      <c r="A146" s="8" t="s">
        <v>9</v>
      </c>
      <c r="B146" s="13">
        <f t="shared" ref="B146:J146" si="34">B105/$B$129</f>
        <v>560013.75717564404</v>
      </c>
      <c r="C146" s="13">
        <f t="shared" si="34"/>
        <v>736695.30429301877</v>
      </c>
      <c r="D146" s="13">
        <f t="shared" si="34"/>
        <v>913376.85141039349</v>
      </c>
      <c r="E146" s="13">
        <f t="shared" si="34"/>
        <v>1090058.3985277682</v>
      </c>
      <c r="F146" s="13">
        <f t="shared" si="34"/>
        <v>1266739.945645143</v>
      </c>
      <c r="G146" s="13">
        <f t="shared" si="34"/>
        <v>2116486.5110380277</v>
      </c>
      <c r="H146" s="13">
        <f t="shared" si="34"/>
        <v>2422857.8639452243</v>
      </c>
      <c r="I146" s="13">
        <f t="shared" si="34"/>
        <v>3035600.5697596176</v>
      </c>
      <c r="J146" s="13">
        <f t="shared" si="34"/>
        <v>7675376.8988073468</v>
      </c>
      <c r="K146" s="13"/>
      <c r="L146" s="13"/>
      <c r="M146" s="13"/>
      <c r="N146" s="13"/>
      <c r="AE146" s="21"/>
      <c r="AF146" s="21"/>
      <c r="AG146" s="21"/>
      <c r="AH146" s="21"/>
      <c r="AI146" s="21"/>
      <c r="AJ146" s="21"/>
      <c r="AK146" s="21"/>
      <c r="AL146" s="21"/>
      <c r="AM146" s="21"/>
      <c r="AN146" s="21"/>
    </row>
    <row r="147" spans="1:41" x14ac:dyDescent="0.25">
      <c r="A147" s="8" t="s">
        <v>10</v>
      </c>
      <c r="B147" s="13">
        <f t="shared" ref="B147:J147" si="35">B106/$B$129</f>
        <v>477550.19293219759</v>
      </c>
      <c r="C147" s="13">
        <f t="shared" si="35"/>
        <v>627405.74598463054</v>
      </c>
      <c r="D147" s="13">
        <f t="shared" si="35"/>
        <v>830913.28716694703</v>
      </c>
      <c r="E147" s="13">
        <f t="shared" si="35"/>
        <v>1007594.8342843218</v>
      </c>
      <c r="F147" s="13">
        <f t="shared" si="35"/>
        <v>1184276.3814016965</v>
      </c>
      <c r="G147" s="13">
        <f t="shared" si="35"/>
        <v>2034022.9467945814</v>
      </c>
      <c r="H147" s="13">
        <f t="shared" si="35"/>
        <v>2340394.2997017778</v>
      </c>
      <c r="I147" s="13">
        <f t="shared" si="35"/>
        <v>2953137.005516171</v>
      </c>
      <c r="J147" s="13">
        <f t="shared" si="35"/>
        <v>5279004.1861236282</v>
      </c>
      <c r="K147" s="13"/>
      <c r="L147" s="13"/>
      <c r="M147" s="13"/>
      <c r="N147" s="13"/>
      <c r="O147" s="13"/>
      <c r="AE147" s="10"/>
    </row>
    <row r="148" spans="1:41" x14ac:dyDescent="0.25">
      <c r="A148" s="8" t="s">
        <v>11</v>
      </c>
      <c r="B148" s="13">
        <f t="shared" ref="B148:J148" si="36">B107/$B$129</f>
        <v>468934.59666795685</v>
      </c>
      <c r="C148" s="13">
        <f t="shared" si="36"/>
        <v>618790.14972038986</v>
      </c>
      <c r="D148" s="13">
        <f t="shared" si="36"/>
        <v>768645.70277282293</v>
      </c>
      <c r="E148" s="13">
        <f t="shared" si="36"/>
        <v>918501.255825256</v>
      </c>
      <c r="F148" s="13">
        <f t="shared" si="36"/>
        <v>1175660.7851374559</v>
      </c>
      <c r="G148" s="13">
        <f t="shared" si="36"/>
        <v>2025407.3505303408</v>
      </c>
      <c r="H148" s="13">
        <f t="shared" si="36"/>
        <v>2331778.7034375374</v>
      </c>
      <c r="I148" s="13">
        <f t="shared" si="36"/>
        <v>2944521.4092519297</v>
      </c>
      <c r="J148" s="13">
        <f t="shared" si="36"/>
        <v>5270388.5898593869</v>
      </c>
      <c r="K148" s="13"/>
      <c r="L148" s="13"/>
      <c r="M148" s="13"/>
      <c r="N148" s="13"/>
      <c r="O148" s="13"/>
    </row>
    <row r="149" spans="1:41" x14ac:dyDescent="0.25">
      <c r="A149" s="8" t="s">
        <v>12</v>
      </c>
      <c r="B149" s="13">
        <f t="shared" ref="B149:J149" si="37">B108/$B$129</f>
        <v>370470.63936234912</v>
      </c>
      <c r="C149" s="13">
        <f t="shared" si="37"/>
        <v>509225.78107756493</v>
      </c>
      <c r="D149" s="13">
        <f t="shared" si="37"/>
        <v>647980.92279278068</v>
      </c>
      <c r="E149" s="13">
        <f t="shared" si="37"/>
        <v>820037.29851964826</v>
      </c>
      <c r="F149" s="13">
        <f t="shared" si="37"/>
        <v>969892.85157208133</v>
      </c>
      <c r="G149" s="13">
        <f t="shared" si="37"/>
        <v>1926943.3932247332</v>
      </c>
      <c r="H149" s="13">
        <f t="shared" si="37"/>
        <v>2233314.7461319296</v>
      </c>
      <c r="I149" s="13">
        <f t="shared" si="37"/>
        <v>2846057.4519463219</v>
      </c>
      <c r="J149" s="13">
        <f t="shared" si="37"/>
        <v>4450383.0701369196</v>
      </c>
      <c r="K149" s="13"/>
      <c r="L149" s="13"/>
      <c r="M149" s="13"/>
      <c r="N149" s="13"/>
      <c r="O149" s="13"/>
    </row>
    <row r="150" spans="1:41" x14ac:dyDescent="0.25">
      <c r="A150" s="8" t="s">
        <v>13</v>
      </c>
      <c r="B150" s="13">
        <f t="shared" ref="B150:J150" si="38">B109/$B$129</f>
        <v>269545.08312410122</v>
      </c>
      <c r="C150" s="13">
        <f t="shared" si="38"/>
        <v>380549.1964962738</v>
      </c>
      <c r="D150" s="13">
        <f t="shared" si="38"/>
        <v>547055.36655453267</v>
      </c>
      <c r="E150" s="13">
        <f t="shared" si="38"/>
        <v>685810.50826974842</v>
      </c>
      <c r="F150" s="13">
        <f t="shared" si="38"/>
        <v>824565.64998496429</v>
      </c>
      <c r="G150" s="13">
        <f t="shared" si="38"/>
        <v>1826017.8369864852</v>
      </c>
      <c r="H150" s="13">
        <f t="shared" si="38"/>
        <v>2132389.1898936816</v>
      </c>
      <c r="I150" s="13">
        <f t="shared" si="38"/>
        <v>2745131.8957080743</v>
      </c>
      <c r="J150" s="13">
        <f t="shared" si="38"/>
        <v>4349457.5138986716</v>
      </c>
      <c r="K150" s="13"/>
      <c r="L150" s="13"/>
      <c r="M150" s="13"/>
      <c r="N150" s="13"/>
      <c r="O150" s="13"/>
    </row>
    <row r="151" spans="1:41" x14ac:dyDescent="0.25">
      <c r="A151" s="8" t="s">
        <v>14</v>
      </c>
      <c r="B151" s="13">
        <f t="shared" ref="B151:J151" si="39">B110/$B$129</f>
        <v>269545.08312410122</v>
      </c>
      <c r="C151" s="13">
        <f t="shared" si="39"/>
        <v>380549.1964962738</v>
      </c>
      <c r="D151" s="13">
        <f t="shared" si="39"/>
        <v>547055.36655453267</v>
      </c>
      <c r="E151" s="13">
        <f t="shared" si="39"/>
        <v>685810.50826974842</v>
      </c>
      <c r="F151" s="13">
        <f t="shared" si="39"/>
        <v>824565.64998496429</v>
      </c>
      <c r="G151" s="13">
        <f t="shared" si="39"/>
        <v>1826017.8369864852</v>
      </c>
      <c r="H151" s="13">
        <f t="shared" si="39"/>
        <v>2132389.1898936816</v>
      </c>
      <c r="I151" s="13">
        <f t="shared" si="39"/>
        <v>2745131.8957080743</v>
      </c>
      <c r="J151" s="13">
        <f t="shared" si="39"/>
        <v>4050888.5915192813</v>
      </c>
      <c r="K151" s="13"/>
      <c r="L151" s="13"/>
      <c r="M151" s="13"/>
      <c r="N151" s="13"/>
      <c r="O151" s="13"/>
    </row>
    <row r="152" spans="1:41" x14ac:dyDescent="0.25">
      <c r="A152" s="8" t="s">
        <v>15</v>
      </c>
      <c r="B152" s="13">
        <f t="shared" ref="B152:J152" si="40">B111/$B$129</f>
        <v>225236.3023365777</v>
      </c>
      <c r="C152" s="13">
        <f t="shared" si="40"/>
        <v>336240.41570875025</v>
      </c>
      <c r="D152" s="13">
        <f t="shared" si="40"/>
        <v>447244.52908092289</v>
      </c>
      <c r="E152" s="13">
        <f t="shared" si="40"/>
        <v>558248.64245309553</v>
      </c>
      <c r="F152" s="13">
        <f t="shared" si="40"/>
        <v>780256.86919744068</v>
      </c>
      <c r="G152" s="13">
        <f t="shared" si="40"/>
        <v>1781709.0561989616</v>
      </c>
      <c r="H152" s="13">
        <f t="shared" si="40"/>
        <v>2088080.409106158</v>
      </c>
      <c r="I152" s="13">
        <f t="shared" si="40"/>
        <v>2700823.114920551</v>
      </c>
      <c r="J152" s="13">
        <f t="shared" si="40"/>
        <v>4006579.8107317579</v>
      </c>
      <c r="K152" s="13"/>
      <c r="L152" s="13"/>
      <c r="M152" s="13"/>
      <c r="N152" s="13"/>
      <c r="O152" s="13"/>
    </row>
    <row r="153" spans="1:41" x14ac:dyDescent="0.25">
      <c r="A153" s="8" t="s">
        <v>16</v>
      </c>
      <c r="B153" s="13">
        <f t="shared" ref="B153:J153" si="41">B112/$B$129</f>
        <v>225236.3023365777</v>
      </c>
      <c r="C153" s="13">
        <f t="shared" si="41"/>
        <v>336240.41570875025</v>
      </c>
      <c r="D153" s="13">
        <f t="shared" si="41"/>
        <v>447244.52908092289</v>
      </c>
      <c r="E153" s="13">
        <f t="shared" si="41"/>
        <v>558248.64245309553</v>
      </c>
      <c r="F153" s="13">
        <f t="shared" si="41"/>
        <v>669252.7558252681</v>
      </c>
      <c r="G153" s="13">
        <f t="shared" si="41"/>
        <v>1781709.0561989616</v>
      </c>
      <c r="H153" s="13">
        <f t="shared" si="41"/>
        <v>2088080.409106158</v>
      </c>
      <c r="I153" s="13">
        <f t="shared" si="41"/>
        <v>2700823.114920551</v>
      </c>
      <c r="J153" s="13">
        <f t="shared" si="41"/>
        <v>4006579.8107317579</v>
      </c>
      <c r="K153" s="13"/>
      <c r="L153" s="13"/>
      <c r="M153" s="13"/>
      <c r="N153" s="13"/>
      <c r="O153" s="13"/>
    </row>
    <row r="154" spans="1:41" x14ac:dyDescent="0.25">
      <c r="A154" s="8" t="s">
        <v>17</v>
      </c>
      <c r="B154" s="13">
        <f t="shared" ref="B154:J154" si="42">B113/$B$129</f>
        <v>189543.1178132949</v>
      </c>
      <c r="C154" s="13">
        <f t="shared" si="42"/>
        <v>282046.54562343872</v>
      </c>
      <c r="D154" s="13">
        <f t="shared" si="42"/>
        <v>411551.34455764014</v>
      </c>
      <c r="E154" s="13">
        <f t="shared" si="42"/>
        <v>522555.45792981272</v>
      </c>
      <c r="F154" s="13">
        <f t="shared" si="42"/>
        <v>633559.5713019853</v>
      </c>
      <c r="G154" s="13">
        <f t="shared" si="42"/>
        <v>1746015.8716756788</v>
      </c>
      <c r="H154" s="13">
        <f t="shared" si="42"/>
        <v>2052387.2245828751</v>
      </c>
      <c r="I154" s="13">
        <f t="shared" si="42"/>
        <v>2665129.9303972679</v>
      </c>
      <c r="J154" s="13">
        <f t="shared" si="42"/>
        <v>3224464.3202599999</v>
      </c>
      <c r="K154" s="13"/>
      <c r="L154" s="13"/>
      <c r="M154" s="13"/>
      <c r="N154" s="13"/>
      <c r="O154" s="13"/>
      <c r="AE154" s="15"/>
    </row>
    <row r="155" spans="1:41" x14ac:dyDescent="0.25">
      <c r="A155" s="8"/>
      <c r="B155" s="13"/>
      <c r="C155" s="13"/>
      <c r="D155" s="13"/>
      <c r="E155" s="13"/>
      <c r="F155" s="13"/>
      <c r="G155" s="13"/>
      <c r="H155" s="13"/>
      <c r="I155" s="13"/>
      <c r="J155" s="13"/>
      <c r="K155" s="13"/>
      <c r="L155" s="13"/>
      <c r="M155" s="13"/>
      <c r="N155" s="13"/>
      <c r="O155" s="13"/>
      <c r="AE155" s="15"/>
    </row>
    <row r="156" spans="1:41" x14ac:dyDescent="0.25">
      <c r="A156" s="16" t="s">
        <v>72</v>
      </c>
      <c r="B156" s="37" t="s">
        <v>48</v>
      </c>
      <c r="C156" s="13"/>
      <c r="D156" s="13"/>
      <c r="E156" s="13"/>
      <c r="F156" s="13"/>
      <c r="G156" s="13"/>
      <c r="H156" s="13"/>
      <c r="I156" s="13"/>
      <c r="J156" s="21"/>
      <c r="K156" s="21"/>
      <c r="L156" s="21"/>
      <c r="M156" s="21"/>
      <c r="N156" s="21"/>
      <c r="O156" s="21"/>
      <c r="P156" s="21"/>
      <c r="Q156" s="21"/>
      <c r="R156" s="21"/>
      <c r="AE156" s="15"/>
    </row>
    <row r="157" spans="1:41" x14ac:dyDescent="0.25">
      <c r="A157" s="8"/>
      <c r="B157" s="9" t="s">
        <v>37</v>
      </c>
      <c r="C157" s="22"/>
      <c r="D157" s="22"/>
      <c r="E157" s="22"/>
      <c r="F157" s="22"/>
      <c r="G157" s="22"/>
      <c r="H157" s="22"/>
      <c r="I157" s="22"/>
      <c r="J157" s="22"/>
      <c r="K157" s="22"/>
      <c r="L157" s="22"/>
      <c r="M157" s="22"/>
      <c r="N157" s="22"/>
      <c r="Q157" s="10"/>
      <c r="R157" s="21"/>
    </row>
    <row r="158" spans="1:41" x14ac:dyDescent="0.25">
      <c r="A158" s="15" t="s">
        <v>88</v>
      </c>
      <c r="B158" s="22">
        <v>0</v>
      </c>
      <c r="C158" s="22">
        <v>5</v>
      </c>
      <c r="D158" s="22">
        <v>10</v>
      </c>
      <c r="E158" s="22">
        <v>15</v>
      </c>
      <c r="F158" s="22">
        <v>20</v>
      </c>
      <c r="G158" s="22">
        <v>25</v>
      </c>
      <c r="H158" s="22">
        <v>30</v>
      </c>
      <c r="I158" s="22">
        <v>40</v>
      </c>
      <c r="J158" s="22">
        <v>50</v>
      </c>
      <c r="K158" s="22"/>
      <c r="L158" s="22"/>
      <c r="M158" s="22"/>
      <c r="N158" s="22"/>
      <c r="P158" s="10"/>
      <c r="Q158" s="10"/>
      <c r="R158" s="21"/>
    </row>
    <row r="159" spans="1:41" x14ac:dyDescent="0.25">
      <c r="A159" s="106" t="s">
        <v>57</v>
      </c>
      <c r="B159" s="105">
        <f t="shared" ref="B159:B167" si="43">B136+B95*0.025+$C$83</f>
        <v>1147335.9106991456</v>
      </c>
      <c r="C159" s="105">
        <f t="shared" ref="C159:J167" si="44">C136+(0.01*(C95-$B95)+(0.025*$B95))+$C$85+$C$88*C$158+$C$83</f>
        <v>1569166.0212350208</v>
      </c>
      <c r="D159" s="105">
        <f t="shared" si="44"/>
        <v>1932784.8006599862</v>
      </c>
      <c r="E159" s="105">
        <f t="shared" si="44"/>
        <v>2296403.5800849511</v>
      </c>
      <c r="F159" s="105">
        <f t="shared" si="44"/>
        <v>2846468.8312154678</v>
      </c>
      <c r="G159" s="105">
        <f t="shared" si="44"/>
        <v>3282978.3987821061</v>
      </c>
      <c r="H159" s="105">
        <f t="shared" si="44"/>
        <v>3693208.7961334591</v>
      </c>
      <c r="I159" s="105">
        <f t="shared" si="44"/>
        <v>4513669.5908361664</v>
      </c>
      <c r="J159" s="105">
        <f t="shared" si="44"/>
        <v>25390519.934441417</v>
      </c>
      <c r="K159" s="13"/>
      <c r="L159" s="13"/>
      <c r="M159" s="13"/>
      <c r="N159" s="22"/>
      <c r="P159" s="10"/>
      <c r="Q159" s="10"/>
      <c r="R159" s="21"/>
    </row>
    <row r="160" spans="1:41" x14ac:dyDescent="0.25">
      <c r="A160" s="106" t="s">
        <v>58</v>
      </c>
      <c r="B160" s="105">
        <f t="shared" si="43"/>
        <v>1147335.9106991456</v>
      </c>
      <c r="C160" s="105">
        <f t="shared" si="44"/>
        <v>1569166.0212350208</v>
      </c>
      <c r="D160" s="105">
        <f t="shared" si="44"/>
        <v>1932784.8006599862</v>
      </c>
      <c r="E160" s="105">
        <f t="shared" si="44"/>
        <v>2296403.5800849511</v>
      </c>
      <c r="F160" s="105">
        <f t="shared" si="44"/>
        <v>2846468.8312154678</v>
      </c>
      <c r="G160" s="105">
        <f t="shared" si="44"/>
        <v>3282978.3987821061</v>
      </c>
      <c r="H160" s="105">
        <f t="shared" si="44"/>
        <v>3693208.7961334591</v>
      </c>
      <c r="I160" s="105">
        <f t="shared" si="44"/>
        <v>4513669.5908361664</v>
      </c>
      <c r="J160" s="105">
        <f t="shared" si="44"/>
        <v>25390519.934441417</v>
      </c>
      <c r="K160" s="13"/>
      <c r="L160" s="13"/>
      <c r="M160" s="13"/>
      <c r="N160" s="22"/>
      <c r="P160" s="10"/>
      <c r="Q160" s="10"/>
      <c r="R160" s="21"/>
    </row>
    <row r="161" spans="1:41" x14ac:dyDescent="0.25">
      <c r="A161" s="106" t="s">
        <v>59</v>
      </c>
      <c r="B161" s="105">
        <f t="shared" si="43"/>
        <v>1147335.9106991456</v>
      </c>
      <c r="C161" s="105">
        <f t="shared" si="44"/>
        <v>1569166.0212350208</v>
      </c>
      <c r="D161" s="105">
        <f t="shared" si="44"/>
        <v>1932784.8006599862</v>
      </c>
      <c r="E161" s="105">
        <f t="shared" si="44"/>
        <v>2296403.5800849511</v>
      </c>
      <c r="F161" s="105">
        <f t="shared" si="44"/>
        <v>2846468.8312154678</v>
      </c>
      <c r="G161" s="105">
        <f t="shared" si="44"/>
        <v>3282978.3987821061</v>
      </c>
      <c r="H161" s="105">
        <f t="shared" si="44"/>
        <v>3693208.7961334591</v>
      </c>
      <c r="I161" s="105">
        <f t="shared" si="44"/>
        <v>4513669.5908361664</v>
      </c>
      <c r="J161" s="105">
        <f t="shared" si="44"/>
        <v>25390519.934441417</v>
      </c>
      <c r="K161" s="13"/>
      <c r="L161" s="13"/>
      <c r="M161" s="13"/>
      <c r="N161" s="22"/>
      <c r="P161" s="10"/>
      <c r="Q161" s="10"/>
      <c r="R161" s="21"/>
    </row>
    <row r="162" spans="1:41" x14ac:dyDescent="0.25">
      <c r="A162" s="106" t="s">
        <v>60</v>
      </c>
      <c r="B162" s="105">
        <f t="shared" si="43"/>
        <v>1147335.9106991456</v>
      </c>
      <c r="C162" s="105">
        <f t="shared" si="44"/>
        <v>1569166.0212350208</v>
      </c>
      <c r="D162" s="105">
        <f t="shared" si="44"/>
        <v>1932784.8006599862</v>
      </c>
      <c r="E162" s="105">
        <f t="shared" si="44"/>
        <v>2296403.5800849511</v>
      </c>
      <c r="F162" s="105">
        <f t="shared" si="44"/>
        <v>2846468.8312154678</v>
      </c>
      <c r="G162" s="105">
        <f t="shared" si="44"/>
        <v>3282978.3987821061</v>
      </c>
      <c r="H162" s="105">
        <f t="shared" si="44"/>
        <v>3693208.7961334591</v>
      </c>
      <c r="I162" s="105">
        <f t="shared" si="44"/>
        <v>4513669.5908361664</v>
      </c>
      <c r="J162" s="105">
        <f t="shared" si="44"/>
        <v>25390519.934441417</v>
      </c>
      <c r="K162" s="13"/>
      <c r="L162" s="13"/>
      <c r="M162" s="13"/>
      <c r="N162" s="22"/>
      <c r="P162" s="10"/>
      <c r="Q162" s="10"/>
      <c r="R162" s="21"/>
    </row>
    <row r="163" spans="1:41" x14ac:dyDescent="0.25">
      <c r="A163" s="106" t="s">
        <v>61</v>
      </c>
      <c r="B163" s="105">
        <f t="shared" si="43"/>
        <v>1147335.9106991456</v>
      </c>
      <c r="C163" s="105">
        <f t="shared" si="44"/>
        <v>1569166.0212350208</v>
      </c>
      <c r="D163" s="105">
        <f t="shared" si="44"/>
        <v>1932784.8006599862</v>
      </c>
      <c r="E163" s="105">
        <f t="shared" si="44"/>
        <v>2296403.5800849511</v>
      </c>
      <c r="F163" s="105">
        <f t="shared" si="44"/>
        <v>2846468.8312154678</v>
      </c>
      <c r="G163" s="105">
        <f t="shared" si="44"/>
        <v>3282978.3987821061</v>
      </c>
      <c r="H163" s="105">
        <f t="shared" si="44"/>
        <v>3693208.7961334591</v>
      </c>
      <c r="I163" s="105">
        <f t="shared" si="44"/>
        <v>4513669.5908361664</v>
      </c>
      <c r="J163" s="105">
        <f t="shared" si="44"/>
        <v>10886968.34498453</v>
      </c>
      <c r="K163" s="13"/>
      <c r="L163" s="13"/>
      <c r="M163" s="13"/>
      <c r="N163" s="22"/>
      <c r="P163" s="10"/>
      <c r="Q163" s="10"/>
      <c r="R163" s="21"/>
    </row>
    <row r="164" spans="1:41" x14ac:dyDescent="0.25">
      <c r="A164" s="8" t="s">
        <v>44</v>
      </c>
      <c r="B164" s="13">
        <f t="shared" si="43"/>
        <v>1147335.9106991456</v>
      </c>
      <c r="C164" s="13">
        <f t="shared" si="44"/>
        <v>1569166.0212350208</v>
      </c>
      <c r="D164" s="13">
        <f t="shared" si="44"/>
        <v>1932784.8006599862</v>
      </c>
      <c r="E164" s="13">
        <f t="shared" si="44"/>
        <v>2296403.5800849511</v>
      </c>
      <c r="F164" s="13">
        <f t="shared" si="44"/>
        <v>2846468.8312154678</v>
      </c>
      <c r="G164" s="13">
        <f t="shared" si="44"/>
        <v>3282978.3987821061</v>
      </c>
      <c r="H164" s="13">
        <f t="shared" si="44"/>
        <v>3693208.7961334591</v>
      </c>
      <c r="I164" s="13">
        <f t="shared" si="44"/>
        <v>4513669.5908361664</v>
      </c>
      <c r="J164" s="13">
        <f t="shared" si="44"/>
        <v>10886968.34498453</v>
      </c>
      <c r="K164" s="13"/>
      <c r="L164" s="13"/>
      <c r="M164" s="13"/>
      <c r="N164" s="13"/>
      <c r="R164" s="21"/>
      <c r="AE164" s="15"/>
    </row>
    <row r="165" spans="1:41" x14ac:dyDescent="0.25">
      <c r="A165" s="8" t="s">
        <v>45</v>
      </c>
      <c r="B165" s="13">
        <f t="shared" si="43"/>
        <v>1033678.8415821369</v>
      </c>
      <c r="C165" s="13">
        <f t="shared" si="44"/>
        <v>1455508.9521180121</v>
      </c>
      <c r="D165" s="13">
        <f t="shared" si="44"/>
        <v>1819127.7315429773</v>
      </c>
      <c r="E165" s="13">
        <f t="shared" si="44"/>
        <v>2182746.5109679424</v>
      </c>
      <c r="F165" s="13">
        <f t="shared" si="44"/>
        <v>2546365.2903929078</v>
      </c>
      <c r="G165" s="13">
        <f t="shared" si="44"/>
        <v>3169321.3296650974</v>
      </c>
      <c r="H165" s="13">
        <f t="shared" si="44"/>
        <v>3579551.7270164504</v>
      </c>
      <c r="I165" s="13">
        <f t="shared" si="44"/>
        <v>4400012.5217191577</v>
      </c>
      <c r="J165" s="13">
        <f t="shared" si="44"/>
        <v>10773311.275867522</v>
      </c>
      <c r="K165" s="13"/>
      <c r="L165" s="13"/>
      <c r="M165" s="13"/>
      <c r="N165" s="13"/>
      <c r="R165" s="21"/>
    </row>
    <row r="166" spans="1:41" x14ac:dyDescent="0.25">
      <c r="A166" s="8" t="s">
        <v>46</v>
      </c>
      <c r="B166" s="13">
        <f t="shared" si="43"/>
        <v>976130.95848491741</v>
      </c>
      <c r="C166" s="13">
        <f t="shared" si="44"/>
        <v>1306120.3811573589</v>
      </c>
      <c r="D166" s="13">
        <f t="shared" si="44"/>
        <v>1761579.8484457578</v>
      </c>
      <c r="E166" s="13">
        <f t="shared" si="44"/>
        <v>2125198.6278707231</v>
      </c>
      <c r="F166" s="13">
        <f t="shared" si="44"/>
        <v>2488817.4072956885</v>
      </c>
      <c r="G166" s="13">
        <f t="shared" si="44"/>
        <v>3111773.4465678777</v>
      </c>
      <c r="H166" s="13">
        <f t="shared" si="44"/>
        <v>3522003.8439192311</v>
      </c>
      <c r="I166" s="13">
        <f t="shared" si="44"/>
        <v>4342464.6386219384</v>
      </c>
      <c r="J166" s="13">
        <f t="shared" si="44"/>
        <v>10715763.392770302</v>
      </c>
      <c r="K166" s="13"/>
      <c r="L166" s="13"/>
      <c r="M166" s="13"/>
      <c r="N166" s="13"/>
      <c r="R166" s="21"/>
    </row>
    <row r="167" spans="1:41" x14ac:dyDescent="0.25">
      <c r="A167" s="8" t="s">
        <v>47</v>
      </c>
      <c r="B167" s="13">
        <f t="shared" si="43"/>
        <v>889809.13383908814</v>
      </c>
      <c r="C167" s="13">
        <f t="shared" si="44"/>
        <v>1219798.5565115297</v>
      </c>
      <c r="D167" s="13">
        <f t="shared" si="44"/>
        <v>1491576.6480730611</v>
      </c>
      <c r="E167" s="13">
        <f t="shared" si="44"/>
        <v>2038876.8032248938</v>
      </c>
      <c r="F167" s="13">
        <f t="shared" si="44"/>
        <v>2402495.5826498591</v>
      </c>
      <c r="G167" s="13">
        <f t="shared" si="44"/>
        <v>3025451.6219220483</v>
      </c>
      <c r="H167" s="13">
        <f t="shared" si="44"/>
        <v>3435682.0192734017</v>
      </c>
      <c r="I167" s="13">
        <f t="shared" si="44"/>
        <v>4256142.813976109</v>
      </c>
      <c r="J167" s="13">
        <f t="shared" si="44"/>
        <v>9375724.0155161694</v>
      </c>
      <c r="K167" s="13"/>
      <c r="L167" s="13"/>
      <c r="M167" s="13"/>
      <c r="N167" s="13"/>
      <c r="R167" s="21"/>
    </row>
    <row r="168" spans="1:41" x14ac:dyDescent="0.25">
      <c r="A168" s="8" t="s">
        <v>8</v>
      </c>
      <c r="B168" s="13">
        <f>B145+B104*0.025+$C$84</f>
        <v>823281.89828376274</v>
      </c>
      <c r="C168" s="13">
        <f>C145+(0.01*(C104-$B104)+(0.025*$B104))+C85+C88*C$158+$C$84</f>
        <v>1153271.3209562041</v>
      </c>
      <c r="D168" s="13">
        <f t="shared" ref="D168:J172" si="45">D145+(0.01*(D104-$B104)+(0.025*$B104))+$C$85+$C$88*D$158+$C$84</f>
        <v>1425049.4125177355</v>
      </c>
      <c r="E168" s="13">
        <f t="shared" si="45"/>
        <v>1696827.5040792669</v>
      </c>
      <c r="F168" s="13">
        <f t="shared" si="45"/>
        <v>1968605.5956407983</v>
      </c>
      <c r="G168" s="13">
        <f t="shared" si="45"/>
        <v>2958924.3863667231</v>
      </c>
      <c r="H168" s="13">
        <f t="shared" si="45"/>
        <v>3369154.7837180765</v>
      </c>
      <c r="I168" s="13">
        <f t="shared" si="45"/>
        <v>4189615.5784207834</v>
      </c>
      <c r="J168" s="13">
        <f t="shared" si="45"/>
        <v>9309196.7799608428</v>
      </c>
      <c r="K168" s="13"/>
      <c r="L168" s="13"/>
      <c r="M168" s="13"/>
      <c r="N168" s="13"/>
      <c r="R168" s="21"/>
      <c r="AE168" s="10"/>
      <c r="AF168" s="10"/>
      <c r="AG168" s="10"/>
      <c r="AH168" s="10"/>
      <c r="AI168" s="10"/>
      <c r="AJ168" s="10"/>
      <c r="AK168" s="10"/>
      <c r="AL168" s="10"/>
      <c r="AM168" s="10"/>
      <c r="AN168" s="10"/>
      <c r="AO168" s="21"/>
    </row>
    <row r="169" spans="1:41" x14ac:dyDescent="0.25">
      <c r="A169" s="8" t="s">
        <v>9</v>
      </c>
      <c r="B169" s="13">
        <f>B146+B105*0.025+$C$84</f>
        <v>721134.40578619798</v>
      </c>
      <c r="C169" s="13">
        <f>C146+(0.01*(C105-$B105)+(0.025*$B105))+$C$85+$C$88*C$158+$C$84</f>
        <v>1051123.8284586393</v>
      </c>
      <c r="D169" s="13">
        <f t="shared" si="45"/>
        <v>1322901.9200201707</v>
      </c>
      <c r="E169" s="13">
        <f t="shared" si="45"/>
        <v>1594680.0115817022</v>
      </c>
      <c r="F169" s="13">
        <f t="shared" si="45"/>
        <v>1866458.103143234</v>
      </c>
      <c r="G169" s="13">
        <f t="shared" si="45"/>
        <v>2856776.8938691583</v>
      </c>
      <c r="H169" s="13">
        <f t="shared" si="45"/>
        <v>3267007.2912205118</v>
      </c>
      <c r="I169" s="13">
        <f t="shared" si="45"/>
        <v>4087468.0859232191</v>
      </c>
      <c r="J169" s="13">
        <f t="shared" si="45"/>
        <v>9207049.2874632776</v>
      </c>
      <c r="K169" s="13"/>
      <c r="L169" s="13"/>
      <c r="M169" s="13"/>
      <c r="N169" s="13"/>
      <c r="R169" s="21"/>
      <c r="AE169" s="15"/>
      <c r="AF169" s="10"/>
      <c r="AG169" s="10"/>
      <c r="AH169" s="10"/>
      <c r="AI169" s="10"/>
      <c r="AJ169" s="10"/>
      <c r="AK169" s="10"/>
      <c r="AL169" s="10"/>
      <c r="AM169" s="10"/>
      <c r="AN169" s="10"/>
      <c r="AO169" s="21"/>
    </row>
    <row r="170" spans="1:41" x14ac:dyDescent="0.25">
      <c r="A170" s="8" t="s">
        <v>10</v>
      </c>
      <c r="B170" s="13">
        <f>B147+B106*0.025+$C$84</f>
        <v>624741.7015983552</v>
      </c>
      <c r="C170" s="13">
        <f>C147+(0.01*(C106-$B106)+(0.025*$B106))+$C$85+$C$88*C$158+$C$84</f>
        <v>926092.63020585489</v>
      </c>
      <c r="D170" s="13">
        <f t="shared" si="45"/>
        <v>1226509.215832328</v>
      </c>
      <c r="E170" s="13">
        <f t="shared" si="45"/>
        <v>1498287.3073938596</v>
      </c>
      <c r="F170" s="13">
        <f t="shared" si="45"/>
        <v>1770065.398955391</v>
      </c>
      <c r="G170" s="13">
        <f t="shared" si="45"/>
        <v>2760384.1896813158</v>
      </c>
      <c r="H170" s="13">
        <f t="shared" si="45"/>
        <v>3170614.5870326692</v>
      </c>
      <c r="I170" s="13">
        <f t="shared" si="45"/>
        <v>3991075.3817353761</v>
      </c>
      <c r="J170" s="13">
        <f t="shared" si="45"/>
        <v>6640408.0156361936</v>
      </c>
      <c r="K170" s="13"/>
      <c r="L170" s="13"/>
      <c r="M170" s="13"/>
      <c r="N170" s="13"/>
      <c r="O170" s="13"/>
      <c r="R170" s="21"/>
      <c r="AE170" s="10"/>
      <c r="AF170" s="13"/>
      <c r="AG170" s="13"/>
      <c r="AH170" s="13"/>
      <c r="AI170" s="13"/>
      <c r="AJ170" s="13"/>
      <c r="AK170" s="13"/>
      <c r="AL170" s="13"/>
      <c r="AM170" s="13"/>
      <c r="AN170" s="13"/>
      <c r="AO170" s="21"/>
    </row>
    <row r="171" spans="1:41" x14ac:dyDescent="0.25">
      <c r="A171" s="8" t="s">
        <v>11</v>
      </c>
      <c r="B171" s="13">
        <f>B148+B107*0.025+$C$84</f>
        <v>614670.8220563418</v>
      </c>
      <c r="C171" s="13">
        <f>C148+(0.01*(C107-$B107)+(0.025*$B107))+$C$85+$C$88*C$158+$C$84</f>
        <v>916021.75066384138</v>
      </c>
      <c r="D171" s="13">
        <f t="shared" si="45"/>
        <v>1159161.3481604313</v>
      </c>
      <c r="E171" s="13">
        <f t="shared" si="45"/>
        <v>1402300.9456570209</v>
      </c>
      <c r="F171" s="13">
        <f t="shared" si="45"/>
        <v>1759994.5194133779</v>
      </c>
      <c r="G171" s="13">
        <f t="shared" si="45"/>
        <v>2750313.3101393026</v>
      </c>
      <c r="H171" s="13">
        <f t="shared" si="45"/>
        <v>3160543.7074906561</v>
      </c>
      <c r="I171" s="13">
        <f t="shared" si="45"/>
        <v>3981004.5021933625</v>
      </c>
      <c r="J171" s="13">
        <f t="shared" si="45"/>
        <v>6630337.1360941799</v>
      </c>
      <c r="K171" s="13"/>
      <c r="L171" s="13"/>
      <c r="M171" s="13"/>
      <c r="N171" s="13"/>
      <c r="O171" s="13"/>
      <c r="R171" s="21"/>
      <c r="AE171" s="10"/>
      <c r="AF171" s="13"/>
      <c r="AG171" s="13"/>
      <c r="AH171" s="13"/>
      <c r="AI171" s="13"/>
      <c r="AJ171" s="13"/>
      <c r="AK171" s="13"/>
      <c r="AL171" s="13"/>
      <c r="AM171" s="13"/>
      <c r="AN171" s="13"/>
      <c r="AO171" s="21"/>
    </row>
    <row r="172" spans="1:41" x14ac:dyDescent="0.25">
      <c r="A172" s="8" t="s">
        <v>12</v>
      </c>
      <c r="B172" s="13">
        <f>B149+B108*0.025+$C$84</f>
        <v>499575.0558619026</v>
      </c>
      <c r="C172" s="13">
        <f>C149+(0.01*(C108-$B108)+(0.025*$B108))+$C$85+$C$88*C$158+$C$84</f>
        <v>789075.57313218515</v>
      </c>
      <c r="D172" s="13">
        <f t="shared" si="45"/>
        <v>1020364.7592915577</v>
      </c>
      <c r="E172" s="13">
        <f t="shared" si="45"/>
        <v>1287205.1794625819</v>
      </c>
      <c r="F172" s="13">
        <f t="shared" si="45"/>
        <v>1530344.7769591718</v>
      </c>
      <c r="G172" s="13">
        <f t="shared" si="45"/>
        <v>2635217.5439448636</v>
      </c>
      <c r="H172" s="13">
        <f t="shared" si="45"/>
        <v>3045447.941296217</v>
      </c>
      <c r="I172" s="13">
        <f t="shared" si="45"/>
        <v>3865908.735998923</v>
      </c>
      <c r="J172" s="13">
        <f t="shared" si="45"/>
        <v>5744948.8057971802</v>
      </c>
      <c r="K172" s="13"/>
      <c r="L172" s="14"/>
      <c r="M172" s="13"/>
      <c r="N172" s="13"/>
      <c r="O172" s="13"/>
      <c r="R172" s="21"/>
      <c r="AE172" s="10"/>
      <c r="AF172" s="13"/>
      <c r="AG172" s="13"/>
      <c r="AH172" s="13"/>
      <c r="AI172" s="13"/>
      <c r="AJ172" s="13"/>
      <c r="AK172" s="13"/>
      <c r="AL172" s="13"/>
      <c r="AM172" s="13"/>
      <c r="AN172" s="13"/>
      <c r="AO172" s="21"/>
    </row>
    <row r="173" spans="1:41" x14ac:dyDescent="0.25">
      <c r="A173" s="8" t="s">
        <v>13</v>
      </c>
      <c r="B173" s="13">
        <f>B150+B109*0.025</f>
        <v>315074.65995727712</v>
      </c>
      <c r="C173" s="13">
        <f t="shared" ref="C173:J176" si="46">C150+(0.01*(C109-$B109)+(0.025*$B109))+$C$85+$C$88*C$158</f>
        <v>574949.14888451633</v>
      </c>
      <c r="D173" s="13">
        <f t="shared" si="46"/>
        <v>835864.36338693206</v>
      </c>
      <c r="E173" s="13">
        <f t="shared" si="46"/>
        <v>1067153.5495463046</v>
      </c>
      <c r="F173" s="13">
        <f t="shared" si="46"/>
        <v>1298442.7357056774</v>
      </c>
      <c r="G173" s="13">
        <f t="shared" si="46"/>
        <v>2450717.1480402383</v>
      </c>
      <c r="H173" s="13">
        <f t="shared" si="46"/>
        <v>2860947.5453915913</v>
      </c>
      <c r="I173" s="13">
        <f t="shared" si="46"/>
        <v>3681408.3400942972</v>
      </c>
      <c r="J173" s="13">
        <f t="shared" si="46"/>
        <v>5560448.4098925544</v>
      </c>
      <c r="K173" s="13"/>
      <c r="L173" s="14"/>
      <c r="M173" s="13"/>
      <c r="N173" s="13"/>
      <c r="O173" s="13"/>
      <c r="R173" s="21"/>
      <c r="AE173" s="10"/>
      <c r="AF173" s="13"/>
      <c r="AG173" s="13"/>
      <c r="AH173" s="13"/>
      <c r="AI173" s="13"/>
      <c r="AJ173" s="13"/>
      <c r="AK173" s="13"/>
      <c r="AL173" s="13"/>
      <c r="AM173" s="13"/>
      <c r="AN173" s="13"/>
      <c r="AO173" s="21"/>
    </row>
    <row r="174" spans="1:41" x14ac:dyDescent="0.25">
      <c r="A174" s="8" t="s">
        <v>14</v>
      </c>
      <c r="B174" s="13">
        <f>B151+B110*0.025</f>
        <v>315074.65995727712</v>
      </c>
      <c r="C174" s="13">
        <f t="shared" si="46"/>
        <v>574949.14888451633</v>
      </c>
      <c r="D174" s="13">
        <f t="shared" si="46"/>
        <v>835864.36338693206</v>
      </c>
      <c r="E174" s="13">
        <f t="shared" si="46"/>
        <v>1067153.5495463046</v>
      </c>
      <c r="F174" s="13">
        <f t="shared" si="46"/>
        <v>1298442.7357056774</v>
      </c>
      <c r="G174" s="13">
        <f t="shared" si="46"/>
        <v>2450717.1480402383</v>
      </c>
      <c r="H174" s="13">
        <f t="shared" si="46"/>
        <v>2860947.5453915913</v>
      </c>
      <c r="I174" s="13">
        <f t="shared" si="46"/>
        <v>3681408.3400942972</v>
      </c>
      <c r="J174" s="13">
        <f t="shared" si="46"/>
        <v>5241706.6592294266</v>
      </c>
      <c r="K174" s="13"/>
      <c r="L174" s="32"/>
      <c r="M174" s="13"/>
      <c r="N174" s="13"/>
      <c r="O174" s="13"/>
      <c r="R174" s="21"/>
      <c r="AE174" s="10"/>
      <c r="AF174" s="13"/>
      <c r="AG174" s="13"/>
      <c r="AH174" s="13"/>
      <c r="AI174" s="13"/>
      <c r="AJ174" s="13"/>
      <c r="AK174" s="13"/>
      <c r="AL174" s="13"/>
      <c r="AM174" s="13"/>
      <c r="AN174" s="13"/>
      <c r="AO174" s="21"/>
    </row>
    <row r="175" spans="1:41" x14ac:dyDescent="0.25">
      <c r="A175" s="8" t="s">
        <v>15</v>
      </c>
      <c r="B175" s="13">
        <f>B152+B111*0.025</f>
        <v>263281.56516977947</v>
      </c>
      <c r="C175" s="13">
        <f t="shared" si="46"/>
        <v>523156.05409701855</v>
      </c>
      <c r="D175" s="13">
        <f t="shared" si="46"/>
        <v>724819.21191334818</v>
      </c>
      <c r="E175" s="13">
        <f t="shared" si="46"/>
        <v>926482.36972967768</v>
      </c>
      <c r="F175" s="13">
        <f t="shared" si="46"/>
        <v>1246649.6409181796</v>
      </c>
      <c r="G175" s="13">
        <f t="shared" si="46"/>
        <v>2398924.0532527403</v>
      </c>
      <c r="H175" s="13">
        <f t="shared" si="46"/>
        <v>2809154.4506040933</v>
      </c>
      <c r="I175" s="13">
        <f t="shared" si="46"/>
        <v>3629615.2453068001</v>
      </c>
      <c r="J175" s="13">
        <f t="shared" si="46"/>
        <v>5189913.5644419286</v>
      </c>
      <c r="K175" s="13"/>
      <c r="L175" s="32"/>
      <c r="M175" s="13"/>
      <c r="N175" s="13"/>
      <c r="O175" s="13"/>
      <c r="R175" s="21"/>
      <c r="AE175" s="10"/>
      <c r="AF175" s="13"/>
      <c r="AG175" s="13"/>
      <c r="AH175" s="13"/>
      <c r="AI175" s="13"/>
      <c r="AJ175" s="13"/>
      <c r="AK175" s="13"/>
      <c r="AL175" s="13"/>
      <c r="AM175" s="13"/>
      <c r="AN175" s="13"/>
      <c r="AO175" s="21"/>
    </row>
    <row r="176" spans="1:41" x14ac:dyDescent="0.25">
      <c r="A176" s="8" t="s">
        <v>16</v>
      </c>
      <c r="B176" s="13">
        <f>B153+B112*0.025</f>
        <v>263281.56516977947</v>
      </c>
      <c r="C176" s="13">
        <f t="shared" si="46"/>
        <v>523156.05409701855</v>
      </c>
      <c r="D176" s="13">
        <f t="shared" si="46"/>
        <v>724819.21191334818</v>
      </c>
      <c r="E176" s="13">
        <f t="shared" si="46"/>
        <v>926482.36972967768</v>
      </c>
      <c r="F176" s="13">
        <f t="shared" si="46"/>
        <v>1128145.5275460072</v>
      </c>
      <c r="G176" s="13">
        <f t="shared" si="46"/>
        <v>2398924.0532527403</v>
      </c>
      <c r="H176" s="13">
        <f t="shared" si="46"/>
        <v>2809154.4506040933</v>
      </c>
      <c r="I176" s="13">
        <f t="shared" si="46"/>
        <v>3629615.2453068001</v>
      </c>
      <c r="J176" s="13">
        <f t="shared" si="46"/>
        <v>5189913.5644419286</v>
      </c>
      <c r="K176" s="13"/>
      <c r="L176" s="13"/>
      <c r="M176" s="13"/>
      <c r="N176" s="13"/>
      <c r="O176" s="13"/>
      <c r="R176" s="21"/>
      <c r="AE176" s="10"/>
      <c r="AF176" s="13"/>
      <c r="AG176" s="13"/>
      <c r="AH176" s="13"/>
      <c r="AI176" s="13"/>
      <c r="AJ176" s="13"/>
      <c r="AK176" s="13"/>
      <c r="AL176" s="13"/>
      <c r="AM176" s="13"/>
      <c r="AN176" s="13"/>
      <c r="AO176" s="21"/>
    </row>
    <row r="177" spans="1:41" x14ac:dyDescent="0.25">
      <c r="A177" s="8" t="s">
        <v>17</v>
      </c>
      <c r="B177" s="13">
        <f>B154+B113*0.025</f>
        <v>221559.34992429527</v>
      </c>
      <c r="C177" s="13">
        <f>C154+(0.01*(C113-$B113)+(0.025*$B113))+C85+$C$88*C$158</f>
        <v>461683.15328950575</v>
      </c>
      <c r="D177" s="13">
        <f t="shared" ref="D177:J177" si="47">D154+(0.01*(D113-$B113)+(0.025*$B113))+$C$85+$C$88*D$158</f>
        <v>683096.99666786403</v>
      </c>
      <c r="E177" s="13">
        <f t="shared" si="47"/>
        <v>884760.15448419342</v>
      </c>
      <c r="F177" s="13">
        <f t="shared" si="47"/>
        <v>1086423.3123005228</v>
      </c>
      <c r="G177" s="13">
        <f t="shared" si="47"/>
        <v>2357201.8380072564</v>
      </c>
      <c r="H177" s="13">
        <f t="shared" si="47"/>
        <v>2767432.2353586089</v>
      </c>
      <c r="I177" s="13">
        <f t="shared" si="47"/>
        <v>3587893.0300613157</v>
      </c>
      <c r="J177" s="13">
        <f t="shared" si="47"/>
        <v>4351336.9725386249</v>
      </c>
      <c r="K177" s="13"/>
      <c r="L177" s="13"/>
      <c r="M177" s="13"/>
      <c r="N177" s="13"/>
      <c r="O177" s="13"/>
      <c r="R177" s="21"/>
      <c r="AE177" s="10"/>
      <c r="AF177" s="13"/>
      <c r="AG177" s="13"/>
      <c r="AH177" s="13"/>
      <c r="AI177" s="13"/>
      <c r="AJ177" s="13"/>
      <c r="AK177" s="13"/>
      <c r="AL177" s="13"/>
      <c r="AM177" s="13"/>
      <c r="AN177" s="13"/>
      <c r="AO177" s="21"/>
    </row>
    <row r="178" spans="1:41" ht="16.5" thickBot="1" x14ac:dyDescent="0.3">
      <c r="A178" s="8"/>
      <c r="B178" s="13"/>
      <c r="C178" s="13"/>
      <c r="D178" s="13"/>
      <c r="E178" s="13"/>
      <c r="F178" s="13"/>
      <c r="G178" s="13"/>
      <c r="H178" s="13"/>
      <c r="I178" s="13"/>
      <c r="J178" s="13"/>
      <c r="K178" s="13"/>
      <c r="L178" s="13"/>
      <c r="M178" s="13"/>
      <c r="N178" s="13"/>
      <c r="O178" s="13"/>
      <c r="R178" s="21"/>
      <c r="AE178" s="10"/>
      <c r="AF178" s="13"/>
      <c r="AG178" s="13"/>
      <c r="AH178" s="13"/>
      <c r="AI178" s="13"/>
      <c r="AJ178" s="13"/>
      <c r="AK178" s="13"/>
      <c r="AL178" s="13"/>
      <c r="AM178" s="13"/>
      <c r="AN178" s="13"/>
      <c r="AO178" s="21"/>
    </row>
    <row r="179" spans="1:41" x14ac:dyDescent="0.25">
      <c r="A179" s="8"/>
      <c r="B179" s="146"/>
      <c r="C179" s="147"/>
      <c r="D179" s="147"/>
      <c r="E179" s="147"/>
      <c r="F179" s="147"/>
      <c r="G179" s="147"/>
      <c r="H179" s="148"/>
      <c r="I179" s="13"/>
      <c r="J179" s="13"/>
      <c r="K179" s="13"/>
      <c r="L179" s="13"/>
      <c r="M179" s="13"/>
      <c r="N179" s="13"/>
      <c r="O179" s="13"/>
      <c r="R179" s="21"/>
      <c r="AE179" s="10"/>
      <c r="AF179" s="13"/>
      <c r="AG179" s="13"/>
      <c r="AH179" s="13"/>
      <c r="AI179" s="13"/>
      <c r="AJ179" s="13"/>
      <c r="AK179" s="13"/>
      <c r="AL179" s="13"/>
      <c r="AM179" s="13"/>
      <c r="AN179" s="13"/>
      <c r="AO179" s="21"/>
    </row>
    <row r="180" spans="1:41" ht="15" x14ac:dyDescent="0.2">
      <c r="A180" s="32"/>
      <c r="B180" s="149" t="s">
        <v>40</v>
      </c>
      <c r="E180" s="150" t="s">
        <v>90</v>
      </c>
      <c r="H180" s="151"/>
      <c r="I180" s="13"/>
      <c r="J180" s="13"/>
      <c r="K180" s="13"/>
      <c r="L180" s="13"/>
      <c r="M180" s="13"/>
      <c r="N180" s="13"/>
      <c r="O180" s="13"/>
      <c r="R180" s="21"/>
      <c r="AE180" s="10"/>
      <c r="AF180" s="13"/>
      <c r="AG180" s="13"/>
      <c r="AH180" s="13"/>
      <c r="AI180" s="13"/>
      <c r="AJ180" s="13"/>
      <c r="AK180" s="13"/>
      <c r="AL180" s="13"/>
      <c r="AM180" s="13"/>
      <c r="AN180" s="13"/>
      <c r="AO180" s="21"/>
    </row>
    <row r="181" spans="1:41" ht="15" x14ac:dyDescent="0.2">
      <c r="A181" s="18"/>
      <c r="B181" s="58"/>
      <c r="E181" s="14" t="s">
        <v>91</v>
      </c>
      <c r="H181" s="151"/>
      <c r="I181" s="13"/>
      <c r="J181" s="13"/>
      <c r="K181" s="13"/>
      <c r="L181" s="13"/>
      <c r="M181" s="13"/>
      <c r="N181" s="13"/>
      <c r="O181" s="13"/>
      <c r="R181" s="21"/>
      <c r="AE181" s="10"/>
      <c r="AF181" s="13"/>
      <c r="AG181" s="13"/>
      <c r="AH181" s="13"/>
      <c r="AI181" s="13"/>
      <c r="AJ181" s="13"/>
      <c r="AK181" s="13"/>
      <c r="AL181" s="13"/>
      <c r="AM181" s="13"/>
      <c r="AN181" s="13"/>
      <c r="AO181" s="21"/>
    </row>
    <row r="182" spans="1:41" ht="15" x14ac:dyDescent="0.2">
      <c r="A182" s="18"/>
      <c r="B182" s="58"/>
      <c r="E182" s="14" t="s">
        <v>96</v>
      </c>
      <c r="H182" s="151"/>
      <c r="I182" s="13"/>
      <c r="J182" s="13"/>
      <c r="K182" s="13"/>
      <c r="L182" s="13"/>
      <c r="M182" s="13"/>
      <c r="N182" s="13"/>
      <c r="O182" s="13"/>
      <c r="R182" s="21"/>
      <c r="AE182" s="10"/>
      <c r="AF182" s="13"/>
      <c r="AG182" s="13"/>
      <c r="AH182" s="13"/>
      <c r="AI182" s="13"/>
      <c r="AJ182" s="13"/>
      <c r="AK182" s="13"/>
      <c r="AL182" s="13"/>
      <c r="AM182" s="13"/>
      <c r="AN182" s="13"/>
      <c r="AO182" s="21"/>
    </row>
    <row r="183" spans="1:41" ht="15" x14ac:dyDescent="0.2">
      <c r="A183" s="18"/>
      <c r="B183" s="58"/>
      <c r="E183" s="150" t="s">
        <v>97</v>
      </c>
      <c r="H183" s="59"/>
      <c r="I183" s="13"/>
      <c r="J183" s="13"/>
      <c r="K183" s="13"/>
      <c r="L183" s="13"/>
      <c r="M183" s="13"/>
      <c r="N183" s="13"/>
      <c r="O183" s="13"/>
      <c r="R183" s="21"/>
      <c r="AE183" s="10"/>
      <c r="AF183" s="13"/>
      <c r="AG183" s="13"/>
      <c r="AH183" s="13"/>
      <c r="AI183" s="13"/>
      <c r="AJ183" s="13"/>
      <c r="AK183" s="13"/>
      <c r="AL183" s="13"/>
      <c r="AM183" s="13"/>
      <c r="AN183" s="13"/>
      <c r="AO183" s="21"/>
    </row>
    <row r="184" spans="1:41" x14ac:dyDescent="0.25">
      <c r="A184" s="8"/>
      <c r="B184" s="58"/>
      <c r="D184" s="32"/>
      <c r="E184" s="152" t="s">
        <v>98</v>
      </c>
      <c r="H184" s="59"/>
      <c r="R184" s="21"/>
      <c r="AE184" s="10"/>
      <c r="AF184" s="13"/>
      <c r="AG184" s="13"/>
      <c r="AH184" s="13"/>
      <c r="AI184" s="13"/>
      <c r="AJ184" s="13"/>
      <c r="AK184" s="13"/>
      <c r="AL184" s="13"/>
      <c r="AM184" s="13"/>
      <c r="AN184" s="13"/>
      <c r="AO184" s="21"/>
    </row>
    <row r="185" spans="1:41" x14ac:dyDescent="0.25">
      <c r="A185" s="8"/>
      <c r="B185" s="58"/>
      <c r="E185" s="152" t="s">
        <v>111</v>
      </c>
      <c r="H185" s="59"/>
      <c r="R185" s="21"/>
      <c r="AE185" s="10"/>
      <c r="AF185" s="13"/>
      <c r="AG185" s="13"/>
      <c r="AH185" s="13"/>
      <c r="AI185" s="13"/>
      <c r="AJ185" s="13"/>
      <c r="AK185" s="13"/>
      <c r="AL185" s="13"/>
      <c r="AM185" s="13"/>
      <c r="AN185" s="13"/>
      <c r="AO185" s="21"/>
    </row>
    <row r="186" spans="1:41" ht="16.5" thickBot="1" x14ac:dyDescent="0.3">
      <c r="A186" s="8"/>
      <c r="B186" s="163"/>
      <c r="C186" s="164"/>
      <c r="D186" s="164"/>
      <c r="E186" s="164"/>
      <c r="F186" s="164"/>
      <c r="G186" s="164"/>
      <c r="H186" s="165"/>
      <c r="R186" s="21"/>
      <c r="AE186" s="10"/>
      <c r="AF186" s="13"/>
      <c r="AG186" s="13"/>
      <c r="AH186" s="13"/>
      <c r="AI186" s="13"/>
      <c r="AJ186" s="13"/>
      <c r="AK186" s="13"/>
      <c r="AL186" s="13"/>
      <c r="AM186" s="13"/>
      <c r="AN186" s="13"/>
      <c r="AO186" s="21"/>
    </row>
    <row r="187" spans="1:41" x14ac:dyDescent="0.25">
      <c r="A187" s="8"/>
      <c r="R187" s="21"/>
      <c r="AE187" s="10"/>
      <c r="AF187" s="13"/>
      <c r="AG187" s="13"/>
      <c r="AH187" s="13"/>
      <c r="AI187" s="13"/>
      <c r="AJ187" s="13"/>
      <c r="AK187" s="13"/>
      <c r="AL187" s="13"/>
      <c r="AM187" s="13"/>
      <c r="AN187" s="13"/>
      <c r="AO187" s="21"/>
    </row>
    <row r="188" spans="1:41" x14ac:dyDescent="0.25">
      <c r="A188" s="9" t="s">
        <v>73</v>
      </c>
      <c r="R188" s="21"/>
      <c r="AE188" s="10"/>
      <c r="AF188" s="13"/>
      <c r="AG188" s="13"/>
      <c r="AH188" s="13"/>
      <c r="AI188" s="13"/>
      <c r="AJ188" s="13"/>
      <c r="AK188" s="13"/>
      <c r="AL188" s="13"/>
      <c r="AM188" s="13"/>
      <c r="AN188" s="13"/>
      <c r="AO188" s="21"/>
    </row>
    <row r="189" spans="1:41" ht="16.5" thickBot="1" x14ac:dyDescent="0.3">
      <c r="A189" s="8"/>
      <c r="R189" s="21"/>
      <c r="AE189" s="21"/>
      <c r="AF189" s="21"/>
      <c r="AG189" s="21"/>
      <c r="AH189" s="21"/>
      <c r="AI189" s="21"/>
      <c r="AJ189" s="21"/>
      <c r="AK189" s="21"/>
      <c r="AL189" s="21"/>
      <c r="AM189" s="21"/>
      <c r="AN189" s="21"/>
    </row>
    <row r="190" spans="1:41" x14ac:dyDescent="0.25">
      <c r="A190" s="18"/>
      <c r="C190" s="63" t="s">
        <v>28</v>
      </c>
      <c r="D190" s="64" t="s">
        <v>29</v>
      </c>
      <c r="E190" s="79" t="s">
        <v>41</v>
      </c>
      <c r="F190" s="64" t="s">
        <v>30</v>
      </c>
      <c r="G190" s="65"/>
      <c r="H190" s="66"/>
      <c r="I190" s="21"/>
      <c r="J190" s="21"/>
      <c r="K190" s="21"/>
      <c r="L190" s="21"/>
      <c r="M190" s="21"/>
      <c r="N190" s="21"/>
      <c r="O190" s="21"/>
      <c r="P190" s="21"/>
      <c r="Q190" s="21"/>
    </row>
    <row r="191" spans="1:41" x14ac:dyDescent="0.25">
      <c r="A191" s="18"/>
      <c r="C191" s="98">
        <v>60</v>
      </c>
      <c r="D191" s="134">
        <f>C191*10830000</f>
        <v>649800000</v>
      </c>
      <c r="E191" s="133">
        <f t="shared" ref="E191:E196" si="48">LN(D191)</f>
        <v>20.292175181199273</v>
      </c>
      <c r="F191" s="132">
        <f t="shared" ref="F191:F209" si="49">D191*H$202*365/1000000</f>
        <v>177882.75</v>
      </c>
      <c r="G191" s="21"/>
      <c r="H191" s="135"/>
      <c r="I191" s="21"/>
      <c r="J191" s="21"/>
      <c r="K191" s="21"/>
      <c r="L191" s="21"/>
      <c r="M191" s="21"/>
      <c r="N191" s="21"/>
      <c r="O191" s="21"/>
      <c r="P191" s="21"/>
      <c r="Q191" s="21"/>
    </row>
    <row r="192" spans="1:41" x14ac:dyDescent="0.25">
      <c r="A192" s="18"/>
      <c r="C192" s="98">
        <v>50</v>
      </c>
      <c r="D192" s="134">
        <f>C192*10830000</f>
        <v>541500000</v>
      </c>
      <c r="E192" s="133">
        <f t="shared" si="48"/>
        <v>20.109853624405318</v>
      </c>
      <c r="F192" s="132">
        <f t="shared" si="49"/>
        <v>148235.625</v>
      </c>
      <c r="G192" s="21"/>
      <c r="H192" s="135"/>
      <c r="I192" s="21"/>
      <c r="J192" s="21"/>
      <c r="K192" s="21"/>
      <c r="L192" s="21"/>
      <c r="M192" s="21"/>
      <c r="N192" s="21"/>
      <c r="O192" s="21"/>
      <c r="P192" s="21"/>
      <c r="Q192" s="21"/>
    </row>
    <row r="193" spans="1:41" x14ac:dyDescent="0.25">
      <c r="A193" s="18"/>
      <c r="C193" s="98">
        <v>40</v>
      </c>
      <c r="D193" s="134">
        <f>C193*10830000</f>
        <v>433200000</v>
      </c>
      <c r="E193" s="133">
        <f t="shared" si="48"/>
        <v>19.886710073091109</v>
      </c>
      <c r="F193" s="132">
        <f t="shared" si="49"/>
        <v>118588.5</v>
      </c>
      <c r="G193" s="21"/>
      <c r="H193" s="135"/>
      <c r="I193" s="21"/>
      <c r="J193" s="21"/>
      <c r="K193" s="21"/>
      <c r="L193" s="21"/>
      <c r="M193" s="21"/>
      <c r="N193" s="21"/>
      <c r="O193" s="21"/>
      <c r="P193" s="21"/>
      <c r="Q193" s="21"/>
    </row>
    <row r="194" spans="1:41" x14ac:dyDescent="0.25">
      <c r="A194" s="18"/>
      <c r="C194" s="98">
        <v>30</v>
      </c>
      <c r="D194" s="134">
        <f>C194*10830000</f>
        <v>324900000</v>
      </c>
      <c r="E194" s="133">
        <f t="shared" si="48"/>
        <v>19.599028000639329</v>
      </c>
      <c r="F194" s="132">
        <f t="shared" si="49"/>
        <v>88941.375</v>
      </c>
      <c r="G194" s="21"/>
      <c r="H194" s="135"/>
      <c r="I194" s="21"/>
      <c r="J194" s="21"/>
      <c r="K194" s="21"/>
      <c r="L194" s="21"/>
      <c r="M194" s="21"/>
      <c r="N194" s="21"/>
      <c r="O194" s="21"/>
      <c r="P194" s="21"/>
      <c r="Q194" s="21"/>
    </row>
    <row r="195" spans="1:41" x14ac:dyDescent="0.25">
      <c r="A195" s="18"/>
      <c r="C195" s="98">
        <v>20</v>
      </c>
      <c r="D195" s="134">
        <f>C195*10830000</f>
        <v>216600000</v>
      </c>
      <c r="E195" s="133">
        <f t="shared" si="48"/>
        <v>19.193562892531165</v>
      </c>
      <c r="F195" s="132">
        <f t="shared" si="49"/>
        <v>59294.25</v>
      </c>
      <c r="G195" s="21"/>
      <c r="H195" s="135"/>
      <c r="I195" s="21"/>
      <c r="J195" s="21"/>
      <c r="K195" s="21"/>
      <c r="L195" s="21"/>
      <c r="M195" s="21"/>
      <c r="N195" s="21"/>
      <c r="O195" s="21"/>
      <c r="P195" s="21"/>
      <c r="Q195" s="21"/>
    </row>
    <row r="196" spans="1:41" x14ac:dyDescent="0.25">
      <c r="A196" s="18"/>
      <c r="C196" s="67">
        <v>15</v>
      </c>
      <c r="D196" s="19">
        <f t="shared" ref="D196:D208" si="50">C196*10830000</f>
        <v>162450000</v>
      </c>
      <c r="E196" s="78">
        <f t="shared" si="48"/>
        <v>18.905880820079382</v>
      </c>
      <c r="F196" s="25">
        <f t="shared" si="49"/>
        <v>44470.6875</v>
      </c>
      <c r="H196" s="59"/>
    </row>
    <row r="197" spans="1:41" x14ac:dyDescent="0.25">
      <c r="A197" s="18"/>
      <c r="C197" s="67">
        <v>12</v>
      </c>
      <c r="D197" s="19">
        <f t="shared" si="50"/>
        <v>129960000</v>
      </c>
      <c r="E197" s="78">
        <f t="shared" ref="E197:E209" si="51">LN(D197)</f>
        <v>18.682737268765173</v>
      </c>
      <c r="F197" s="25">
        <f t="shared" si="49"/>
        <v>35576.550000000003</v>
      </c>
      <c r="H197" s="59"/>
      <c r="AE197" s="15"/>
    </row>
    <row r="198" spans="1:41" x14ac:dyDescent="0.25">
      <c r="A198" s="18"/>
      <c r="C198" s="67">
        <v>10</v>
      </c>
      <c r="D198" s="19">
        <f t="shared" si="50"/>
        <v>108300000</v>
      </c>
      <c r="E198" s="78">
        <f t="shared" si="51"/>
        <v>18.500415711971218</v>
      </c>
      <c r="F198" s="25">
        <f t="shared" si="49"/>
        <v>29647.125</v>
      </c>
      <c r="H198" s="59"/>
      <c r="J198" s="14"/>
    </row>
    <row r="199" spans="1:41" x14ac:dyDescent="0.25">
      <c r="A199" s="18"/>
      <c r="C199" s="67">
        <v>7</v>
      </c>
      <c r="D199" s="19">
        <f t="shared" si="50"/>
        <v>75810000</v>
      </c>
      <c r="E199" s="78">
        <f t="shared" si="51"/>
        <v>18.143740768032487</v>
      </c>
      <c r="F199" s="25">
        <f t="shared" si="49"/>
        <v>20752.987499999999</v>
      </c>
      <c r="H199" s="59"/>
      <c r="J199" s="14"/>
    </row>
    <row r="200" spans="1:41" x14ac:dyDescent="0.25">
      <c r="A200" s="18"/>
      <c r="C200" s="67">
        <v>5</v>
      </c>
      <c r="D200" s="19">
        <f t="shared" si="50"/>
        <v>54150000</v>
      </c>
      <c r="E200" s="78">
        <f t="shared" si="51"/>
        <v>17.807268531411275</v>
      </c>
      <c r="F200" s="25">
        <f t="shared" si="49"/>
        <v>14823.5625</v>
      </c>
      <c r="H200" s="59"/>
      <c r="J200" s="136"/>
    </row>
    <row r="201" spans="1:41" x14ac:dyDescent="0.25">
      <c r="A201" s="18"/>
      <c r="C201" s="67">
        <v>4</v>
      </c>
      <c r="D201" s="19">
        <f t="shared" si="50"/>
        <v>43320000</v>
      </c>
      <c r="E201" s="78">
        <f t="shared" si="51"/>
        <v>17.584124980097062</v>
      </c>
      <c r="F201" s="25">
        <f t="shared" si="49"/>
        <v>11858.85</v>
      </c>
      <c r="H201" s="59"/>
      <c r="J201" s="137"/>
      <c r="AE201" s="10"/>
      <c r="AF201" s="10"/>
      <c r="AG201" s="10"/>
      <c r="AH201" s="10"/>
      <c r="AI201" s="10"/>
      <c r="AJ201" s="10"/>
      <c r="AK201" s="10"/>
      <c r="AL201" s="10"/>
      <c r="AM201" s="10"/>
      <c r="AN201" s="10"/>
      <c r="AO201" s="21"/>
    </row>
    <row r="202" spans="1:41" x14ac:dyDescent="0.25">
      <c r="A202" s="18"/>
      <c r="C202" s="67">
        <v>3</v>
      </c>
      <c r="D202" s="19">
        <f t="shared" si="50"/>
        <v>32490000</v>
      </c>
      <c r="E202" s="78">
        <f t="shared" si="51"/>
        <v>17.296442907645282</v>
      </c>
      <c r="F202" s="25">
        <f t="shared" si="49"/>
        <v>8894.1375000000007</v>
      </c>
      <c r="G202" s="10" t="s">
        <v>31</v>
      </c>
      <c r="H202" s="68">
        <v>0.75</v>
      </c>
      <c r="AE202" s="15"/>
      <c r="AF202" s="10"/>
      <c r="AG202" s="10"/>
      <c r="AH202" s="10"/>
      <c r="AI202" s="10"/>
      <c r="AJ202" s="10"/>
      <c r="AK202" s="10"/>
      <c r="AL202" s="10"/>
      <c r="AM202" s="10"/>
      <c r="AN202" s="10"/>
      <c r="AO202" s="21"/>
    </row>
    <row r="203" spans="1:41" x14ac:dyDescent="0.25">
      <c r="A203" s="18"/>
      <c r="C203" s="67">
        <v>2</v>
      </c>
      <c r="D203" s="19">
        <f t="shared" si="50"/>
        <v>21660000</v>
      </c>
      <c r="E203" s="78">
        <f t="shared" si="51"/>
        <v>16.890977799537119</v>
      </c>
      <c r="F203" s="25">
        <f t="shared" si="49"/>
        <v>5929.4250000000002</v>
      </c>
      <c r="H203" s="59"/>
      <c r="AE203" s="10"/>
      <c r="AF203" s="13"/>
      <c r="AG203" s="13"/>
      <c r="AH203" s="13"/>
      <c r="AI203" s="13"/>
      <c r="AJ203" s="13"/>
      <c r="AK203" s="13"/>
      <c r="AL203" s="13"/>
      <c r="AM203" s="13"/>
      <c r="AN203" s="13"/>
      <c r="AO203" s="21"/>
    </row>
    <row r="204" spans="1:41" x14ac:dyDescent="0.25">
      <c r="A204" s="18"/>
      <c r="C204" s="67">
        <v>1</v>
      </c>
      <c r="D204" s="19">
        <f t="shared" si="50"/>
        <v>10830000</v>
      </c>
      <c r="E204" s="78">
        <f t="shared" si="51"/>
        <v>16.197830618977175</v>
      </c>
      <c r="F204" s="25">
        <f t="shared" si="49"/>
        <v>2964.7125000000001</v>
      </c>
      <c r="H204" s="59"/>
      <c r="AE204" s="10"/>
      <c r="AF204" s="13"/>
      <c r="AG204" s="13"/>
      <c r="AH204" s="13"/>
      <c r="AI204" s="13"/>
      <c r="AJ204" s="13"/>
      <c r="AK204" s="13"/>
      <c r="AL204" s="13"/>
      <c r="AM204" s="13"/>
      <c r="AN204" s="13"/>
      <c r="AO204" s="21"/>
    </row>
    <row r="205" spans="1:41" x14ac:dyDescent="0.25">
      <c r="A205" s="18"/>
      <c r="C205" s="67">
        <v>0.5</v>
      </c>
      <c r="D205" s="19">
        <f t="shared" si="50"/>
        <v>5415000</v>
      </c>
      <c r="E205" s="78">
        <f t="shared" si="51"/>
        <v>15.504683438417228</v>
      </c>
      <c r="F205" s="25">
        <f t="shared" si="49"/>
        <v>1482.35625</v>
      </c>
      <c r="H205" s="59"/>
      <c r="AE205" s="10"/>
      <c r="AF205" s="13"/>
      <c r="AG205" s="13"/>
      <c r="AH205" s="13"/>
      <c r="AI205" s="13"/>
      <c r="AJ205" s="13"/>
      <c r="AK205" s="13"/>
      <c r="AL205" s="13"/>
      <c r="AM205" s="13"/>
      <c r="AN205" s="13"/>
      <c r="AO205" s="21"/>
    </row>
    <row r="206" spans="1:41" x14ac:dyDescent="0.25">
      <c r="A206" s="18"/>
      <c r="C206" s="67">
        <v>0.4</v>
      </c>
      <c r="D206" s="19">
        <f t="shared" si="50"/>
        <v>4332000</v>
      </c>
      <c r="E206" s="78">
        <f t="shared" si="51"/>
        <v>15.281539887103019</v>
      </c>
      <c r="F206" s="25">
        <f t="shared" si="49"/>
        <v>1185.885</v>
      </c>
      <c r="H206" s="59"/>
      <c r="AE206" s="10"/>
      <c r="AF206" s="13"/>
      <c r="AG206" s="13"/>
      <c r="AH206" s="13"/>
      <c r="AI206" s="13"/>
      <c r="AJ206" s="13"/>
      <c r="AK206" s="13"/>
      <c r="AL206" s="13"/>
      <c r="AM206" s="13"/>
      <c r="AN206" s="13"/>
      <c r="AO206" s="21"/>
    </row>
    <row r="207" spans="1:41" x14ac:dyDescent="0.25">
      <c r="A207" s="18"/>
      <c r="C207" s="67">
        <v>0.3</v>
      </c>
      <c r="D207" s="19">
        <f t="shared" si="50"/>
        <v>3249000</v>
      </c>
      <c r="E207" s="78">
        <f t="shared" si="51"/>
        <v>14.993857814651237</v>
      </c>
      <c r="F207" s="25">
        <f t="shared" si="49"/>
        <v>889.41375000000005</v>
      </c>
      <c r="H207" s="59"/>
      <c r="AE207" s="10"/>
      <c r="AF207" s="13"/>
      <c r="AG207" s="13"/>
      <c r="AH207" s="13"/>
      <c r="AI207" s="13"/>
      <c r="AJ207" s="13"/>
      <c r="AK207" s="13"/>
      <c r="AL207" s="13"/>
      <c r="AM207" s="13"/>
      <c r="AN207" s="13"/>
      <c r="AO207" s="21"/>
    </row>
    <row r="208" spans="1:41" x14ac:dyDescent="0.25">
      <c r="A208" s="18"/>
      <c r="C208" s="67">
        <v>0.2</v>
      </c>
      <c r="D208" s="19">
        <f t="shared" si="50"/>
        <v>2166000</v>
      </c>
      <c r="E208" s="78">
        <f t="shared" si="51"/>
        <v>14.588392706543074</v>
      </c>
      <c r="F208" s="25">
        <f t="shared" si="49"/>
        <v>592.9425</v>
      </c>
      <c r="H208" s="59"/>
      <c r="AE208" s="10"/>
      <c r="AF208" s="13"/>
      <c r="AG208" s="13"/>
      <c r="AH208" s="13"/>
      <c r="AI208" s="13"/>
      <c r="AJ208" s="13"/>
      <c r="AK208" s="13"/>
      <c r="AL208" s="13"/>
      <c r="AM208" s="13"/>
      <c r="AN208" s="13"/>
      <c r="AO208" s="21"/>
    </row>
    <row r="209" spans="1:41" ht="16.5" thickBot="1" x14ac:dyDescent="0.3">
      <c r="A209" s="18"/>
      <c r="C209" s="69">
        <v>0.1</v>
      </c>
      <c r="D209" s="70">
        <f>C209*10830000</f>
        <v>1083000</v>
      </c>
      <c r="E209" s="80">
        <f t="shared" si="51"/>
        <v>13.895245525983128</v>
      </c>
      <c r="F209" s="71">
        <f t="shared" si="49"/>
        <v>296.47125</v>
      </c>
      <c r="G209" s="61"/>
      <c r="H209" s="62"/>
      <c r="AE209" s="10"/>
      <c r="AF209" s="13"/>
      <c r="AG209" s="13"/>
      <c r="AH209" s="13"/>
      <c r="AI209" s="13"/>
      <c r="AJ209" s="13"/>
      <c r="AK209" s="13"/>
      <c r="AL209" s="13"/>
      <c r="AM209" s="13"/>
      <c r="AN209" s="13"/>
      <c r="AO209" s="21"/>
    </row>
    <row r="210" spans="1:41" x14ac:dyDescent="0.25">
      <c r="A210" s="18"/>
      <c r="B210" s="8"/>
      <c r="C210" s="19"/>
      <c r="D210" s="78"/>
      <c r="E210" s="25"/>
      <c r="F210" s="25"/>
      <c r="AE210" s="10"/>
      <c r="AF210" s="13"/>
      <c r="AG210" s="13"/>
      <c r="AH210" s="13"/>
      <c r="AI210" s="13"/>
      <c r="AJ210" s="13"/>
      <c r="AK210" s="13"/>
      <c r="AL210" s="13"/>
      <c r="AM210" s="13"/>
      <c r="AN210" s="13"/>
      <c r="AO210" s="21"/>
    </row>
    <row r="211" spans="1:41" x14ac:dyDescent="0.25">
      <c r="A211" s="18"/>
      <c r="B211" s="8"/>
      <c r="C211" s="19"/>
      <c r="D211" s="78"/>
      <c r="E211" s="25"/>
      <c r="F211" s="25"/>
      <c r="AE211" s="10"/>
      <c r="AF211" s="13"/>
      <c r="AG211" s="13"/>
      <c r="AH211" s="13"/>
      <c r="AI211" s="13"/>
      <c r="AJ211" s="13"/>
      <c r="AK211" s="13"/>
      <c r="AL211" s="13"/>
      <c r="AM211" s="13"/>
      <c r="AN211" s="13"/>
      <c r="AO211" s="21"/>
    </row>
    <row r="212" spans="1:41" x14ac:dyDescent="0.25">
      <c r="A212" s="16" t="s">
        <v>75</v>
      </c>
      <c r="B212" s="19"/>
      <c r="C212" s="25"/>
      <c r="D212" s="25"/>
      <c r="AE212" s="10"/>
      <c r="AF212" s="13"/>
      <c r="AG212" s="13"/>
      <c r="AH212" s="13"/>
      <c r="AI212" s="13"/>
      <c r="AJ212" s="13"/>
      <c r="AK212" s="13"/>
      <c r="AL212" s="13"/>
      <c r="AM212" s="13"/>
      <c r="AN212" s="13"/>
      <c r="AO212" s="21"/>
    </row>
    <row r="213" spans="1:41" x14ac:dyDescent="0.25">
      <c r="B213" s="22"/>
      <c r="C213" s="22"/>
      <c r="D213" s="15" t="s">
        <v>80</v>
      </c>
      <c r="E213" s="22"/>
      <c r="F213" s="22"/>
      <c r="G213" s="22"/>
      <c r="H213" s="22"/>
      <c r="I213" s="22"/>
      <c r="J213" s="22"/>
      <c r="K213" s="22"/>
      <c r="L213" s="22"/>
      <c r="M213" s="22"/>
      <c r="N213" s="22"/>
      <c r="O213" s="22"/>
      <c r="P213" s="8"/>
      <c r="Q213" s="22"/>
      <c r="R213" s="10"/>
      <c r="AE213" s="10"/>
      <c r="AF213" s="13"/>
      <c r="AG213" s="13"/>
      <c r="AH213" s="13"/>
      <c r="AI213" s="13"/>
      <c r="AJ213" s="13"/>
      <c r="AK213" s="13"/>
      <c r="AL213" s="13"/>
      <c r="AM213" s="13"/>
      <c r="AN213" s="13"/>
      <c r="AO213" s="21"/>
    </row>
    <row r="214" spans="1:41" x14ac:dyDescent="0.25">
      <c r="A214" s="15" t="s">
        <v>88</v>
      </c>
      <c r="B214" s="8" t="s">
        <v>33</v>
      </c>
      <c r="C214" s="8" t="s">
        <v>0</v>
      </c>
      <c r="D214" s="8" t="s">
        <v>1</v>
      </c>
      <c r="E214" s="8" t="s">
        <v>2</v>
      </c>
      <c r="F214" s="8" t="s">
        <v>3</v>
      </c>
      <c r="G214" s="8" t="s">
        <v>4</v>
      </c>
      <c r="H214" s="8" t="s">
        <v>5</v>
      </c>
      <c r="I214" s="8" t="s">
        <v>6</v>
      </c>
      <c r="J214" s="15" t="s">
        <v>62</v>
      </c>
      <c r="K214" s="15"/>
      <c r="L214" s="15"/>
      <c r="M214" s="15"/>
      <c r="N214" s="8"/>
      <c r="O214" s="8"/>
      <c r="P214" s="8"/>
      <c r="Q214" s="8"/>
      <c r="R214" s="10"/>
      <c r="AE214" s="10"/>
      <c r="AF214" s="13"/>
      <c r="AG214" s="13"/>
      <c r="AH214" s="13"/>
      <c r="AI214" s="13"/>
      <c r="AJ214" s="13"/>
      <c r="AK214" s="13"/>
      <c r="AL214" s="13"/>
      <c r="AM214" s="13"/>
      <c r="AN214" s="13"/>
      <c r="AO214" s="21"/>
    </row>
    <row r="215" spans="1:41" x14ac:dyDescent="0.25">
      <c r="A215" s="106" t="s">
        <v>57</v>
      </c>
      <c r="B215" s="104">
        <f t="shared" ref="B215:I215" si="52">B159/$F191/1000000*100</f>
        <v>6.4499560002256862E-4</v>
      </c>
      <c r="C215" s="104">
        <f t="shared" si="52"/>
        <v>8.82135013785778E-4</v>
      </c>
      <c r="D215" s="104">
        <f t="shared" si="52"/>
        <v>1.0865498766237797E-3</v>
      </c>
      <c r="E215" s="104">
        <f t="shared" si="52"/>
        <v>1.290964739461781E-3</v>
      </c>
      <c r="F215" s="104">
        <f t="shared" si="52"/>
        <v>1.600193853094506E-3</v>
      </c>
      <c r="G215" s="104">
        <f t="shared" si="52"/>
        <v>1.8455855886993573E-3</v>
      </c>
      <c r="H215" s="104">
        <f t="shared" si="52"/>
        <v>2.0762040142360398E-3</v>
      </c>
      <c r="I215" s="104">
        <f t="shared" si="52"/>
        <v>2.5374408653094055E-3</v>
      </c>
      <c r="J215" s="104">
        <f>J159/$F191/1000000*100</f>
        <v>1.4273739266140993E-2</v>
      </c>
      <c r="K215" s="28"/>
      <c r="L215" s="28"/>
      <c r="M215" s="28"/>
      <c r="N215" s="8"/>
      <c r="O215" s="8"/>
      <c r="P215" s="8"/>
      <c r="Q215" s="8"/>
      <c r="R215" s="10"/>
      <c r="AE215" s="10"/>
      <c r="AF215" s="13"/>
      <c r="AG215" s="13"/>
      <c r="AH215" s="13"/>
      <c r="AI215" s="13"/>
      <c r="AJ215" s="13"/>
      <c r="AK215" s="13"/>
      <c r="AL215" s="13"/>
      <c r="AM215" s="13"/>
      <c r="AN215" s="13"/>
      <c r="AO215" s="21"/>
    </row>
    <row r="216" spans="1:41" x14ac:dyDescent="0.25">
      <c r="A216" s="106" t="s">
        <v>58</v>
      </c>
      <c r="B216" s="104">
        <f t="shared" ref="B216:J216" si="53">B160/$F192/1000000*100</f>
        <v>7.7399472002708219E-4</v>
      </c>
      <c r="C216" s="104">
        <f t="shared" si="53"/>
        <v>1.0585620165429336E-3</v>
      </c>
      <c r="D216" s="104">
        <f t="shared" si="53"/>
        <v>1.3038598519485355E-3</v>
      </c>
      <c r="E216" s="104">
        <f t="shared" si="53"/>
        <v>1.5491576873541372E-3</v>
      </c>
      <c r="F216" s="104">
        <f t="shared" si="53"/>
        <v>1.9202326237134071E-3</v>
      </c>
      <c r="G216" s="104">
        <f t="shared" si="53"/>
        <v>2.2147027064392285E-3</v>
      </c>
      <c r="H216" s="104">
        <f t="shared" si="53"/>
        <v>2.4914448170832481E-3</v>
      </c>
      <c r="I216" s="104">
        <f t="shared" si="53"/>
        <v>3.0449290383712862E-3</v>
      </c>
      <c r="J216" s="104">
        <f t="shared" si="53"/>
        <v>1.7128487119369189E-2</v>
      </c>
      <c r="K216" s="28"/>
      <c r="L216" s="28"/>
      <c r="M216" s="28"/>
      <c r="N216" s="8"/>
      <c r="O216" s="8"/>
      <c r="P216" s="8"/>
      <c r="Q216" s="8"/>
      <c r="R216" s="10"/>
      <c r="AE216" s="10"/>
      <c r="AF216" s="13"/>
      <c r="AG216" s="13"/>
      <c r="AH216" s="13"/>
      <c r="AI216" s="13"/>
      <c r="AJ216" s="13"/>
      <c r="AK216" s="13"/>
      <c r="AL216" s="13"/>
      <c r="AM216" s="13"/>
      <c r="AN216" s="13"/>
      <c r="AO216" s="21"/>
    </row>
    <row r="217" spans="1:41" x14ac:dyDescent="0.25">
      <c r="A217" s="106" t="s">
        <v>59</v>
      </c>
      <c r="B217" s="104">
        <f t="shared" ref="B217:J217" si="54">B161/$F193/1000000*100</f>
        <v>9.6749340003385298E-4</v>
      </c>
      <c r="C217" s="104">
        <f t="shared" si="54"/>
        <v>1.3232025206786667E-3</v>
      </c>
      <c r="D217" s="104">
        <f t="shared" si="54"/>
        <v>1.6298248149356691E-3</v>
      </c>
      <c r="E217" s="104">
        <f t="shared" si="54"/>
        <v>1.9364471091926712E-3</v>
      </c>
      <c r="F217" s="104">
        <f t="shared" si="54"/>
        <v>2.4002907796417594E-3</v>
      </c>
      <c r="G217" s="104">
        <f t="shared" si="54"/>
        <v>2.7683783830490358E-3</v>
      </c>
      <c r="H217" s="104">
        <f t="shared" si="54"/>
        <v>3.1143060213540599E-3</v>
      </c>
      <c r="I217" s="104">
        <f t="shared" si="54"/>
        <v>3.8061612979641084E-3</v>
      </c>
      <c r="J217" s="104">
        <f t="shared" si="54"/>
        <v>2.1410608899211491E-2</v>
      </c>
      <c r="K217" s="28"/>
      <c r="L217" s="28"/>
      <c r="M217" s="28"/>
      <c r="N217" s="8"/>
      <c r="O217" s="8"/>
      <c r="P217" s="8"/>
      <c r="Q217" s="8"/>
      <c r="R217" s="10"/>
      <c r="AE217" s="10"/>
      <c r="AF217" s="13"/>
      <c r="AG217" s="13"/>
      <c r="AH217" s="13"/>
      <c r="AI217" s="13"/>
      <c r="AJ217" s="13"/>
      <c r="AK217" s="13"/>
      <c r="AL217" s="13"/>
      <c r="AM217" s="13"/>
      <c r="AN217" s="13"/>
      <c r="AO217" s="21"/>
    </row>
    <row r="218" spans="1:41" x14ac:dyDescent="0.25">
      <c r="A218" s="106" t="s">
        <v>60</v>
      </c>
      <c r="B218" s="104">
        <f t="shared" ref="B218:J218" si="55">B162/$F194/1000000*100</f>
        <v>1.2899912000451372E-3</v>
      </c>
      <c r="C218" s="104">
        <f t="shared" si="55"/>
        <v>1.764270027571556E-3</v>
      </c>
      <c r="D218" s="104">
        <f t="shared" si="55"/>
        <v>2.1730997532475593E-3</v>
      </c>
      <c r="E218" s="104">
        <f t="shared" si="55"/>
        <v>2.581929478923562E-3</v>
      </c>
      <c r="F218" s="104">
        <f t="shared" si="55"/>
        <v>3.2003877061890121E-3</v>
      </c>
      <c r="G218" s="104">
        <f t="shared" si="55"/>
        <v>3.6911711773987147E-3</v>
      </c>
      <c r="H218" s="104">
        <f t="shared" si="55"/>
        <v>4.1524080284720795E-3</v>
      </c>
      <c r="I218" s="104">
        <f t="shared" si="55"/>
        <v>5.0748817306188109E-3</v>
      </c>
      <c r="J218" s="104">
        <f t="shared" si="55"/>
        <v>2.8547478532281987E-2</v>
      </c>
      <c r="K218" s="28"/>
      <c r="L218" s="28"/>
      <c r="M218" s="28"/>
      <c r="N218" s="8"/>
      <c r="O218" s="8"/>
      <c r="P218" s="8"/>
      <c r="Q218" s="8"/>
      <c r="R218" s="10"/>
      <c r="AE218" s="10"/>
      <c r="AF218" s="13"/>
      <c r="AG218" s="13"/>
      <c r="AH218" s="13"/>
      <c r="AI218" s="13"/>
      <c r="AJ218" s="13"/>
      <c r="AK218" s="13"/>
      <c r="AL218" s="13"/>
      <c r="AM218" s="13"/>
      <c r="AN218" s="13"/>
      <c r="AO218" s="21"/>
    </row>
    <row r="219" spans="1:41" x14ac:dyDescent="0.25">
      <c r="A219" s="106" t="s">
        <v>61</v>
      </c>
      <c r="B219" s="104">
        <f t="shared" ref="B219:J219" si="56">B163/$F195/1000000*100</f>
        <v>1.934986800067706E-3</v>
      </c>
      <c r="C219" s="104">
        <f t="shared" si="56"/>
        <v>2.6464050413573335E-3</v>
      </c>
      <c r="D219" s="104">
        <f t="shared" si="56"/>
        <v>3.2596496298713381E-3</v>
      </c>
      <c r="E219" s="104">
        <f t="shared" si="56"/>
        <v>3.8728942183853424E-3</v>
      </c>
      <c r="F219" s="104">
        <f t="shared" si="56"/>
        <v>4.8005815592835187E-3</v>
      </c>
      <c r="G219" s="104">
        <f t="shared" si="56"/>
        <v>5.5367567660980716E-3</v>
      </c>
      <c r="H219" s="104">
        <f t="shared" si="56"/>
        <v>6.2286120427081197E-3</v>
      </c>
      <c r="I219" s="104">
        <f t="shared" si="56"/>
        <v>7.6123225959282169E-3</v>
      </c>
      <c r="J219" s="104">
        <f t="shared" si="56"/>
        <v>1.8360917534136156E-2</v>
      </c>
      <c r="K219" s="28"/>
      <c r="L219" s="28"/>
      <c r="M219" s="28"/>
      <c r="N219" s="8"/>
      <c r="O219" s="8"/>
      <c r="P219" s="8"/>
      <c r="Q219" s="8"/>
      <c r="R219" s="10"/>
      <c r="AE219" s="10"/>
      <c r="AF219" s="13"/>
      <c r="AG219" s="13"/>
      <c r="AH219" s="13"/>
      <c r="AI219" s="13"/>
      <c r="AJ219" s="13"/>
      <c r="AK219" s="13"/>
      <c r="AL219" s="13"/>
      <c r="AM219" s="13"/>
      <c r="AN219" s="13"/>
      <c r="AO219" s="21"/>
    </row>
    <row r="220" spans="1:41" x14ac:dyDescent="0.25">
      <c r="A220" s="8" t="s">
        <v>44</v>
      </c>
      <c r="B220" s="28">
        <f t="shared" ref="B220:J220" si="57">B164/$F196/1000000*100</f>
        <v>2.5799824000902745E-3</v>
      </c>
      <c r="C220" s="28">
        <f t="shared" si="57"/>
        <v>3.528540055143112E-3</v>
      </c>
      <c r="D220" s="28">
        <f t="shared" si="57"/>
        <v>4.3461995064951187E-3</v>
      </c>
      <c r="E220" s="28">
        <f t="shared" si="57"/>
        <v>5.163858957847124E-3</v>
      </c>
      <c r="F220" s="28">
        <f t="shared" si="57"/>
        <v>6.4007754123780241E-3</v>
      </c>
      <c r="G220" s="28">
        <f t="shared" si="57"/>
        <v>7.3823423547974294E-3</v>
      </c>
      <c r="H220" s="28">
        <f t="shared" si="57"/>
        <v>8.304816056944159E-3</v>
      </c>
      <c r="I220" s="28">
        <f t="shared" si="57"/>
        <v>1.0149763461237622E-2</v>
      </c>
      <c r="J220" s="28">
        <f t="shared" si="57"/>
        <v>2.4481223378848213E-2</v>
      </c>
      <c r="K220" s="28"/>
      <c r="L220" s="28"/>
      <c r="M220" s="28"/>
      <c r="N220" s="28"/>
      <c r="O220" s="28"/>
      <c r="AE220" s="10"/>
      <c r="AF220" s="13"/>
      <c r="AG220" s="13"/>
      <c r="AH220" s="13"/>
      <c r="AI220" s="13"/>
      <c r="AJ220" s="13"/>
      <c r="AK220" s="13"/>
      <c r="AL220" s="13"/>
      <c r="AM220" s="13"/>
      <c r="AN220" s="13"/>
      <c r="AO220" s="21"/>
    </row>
    <row r="221" spans="1:41" x14ac:dyDescent="0.25">
      <c r="A221" s="8" t="s">
        <v>45</v>
      </c>
      <c r="B221" s="28">
        <f t="shared" ref="B221:J221" si="58">B165/$F197/1000000*100</f>
        <v>2.9055061313762488E-3</v>
      </c>
      <c r="C221" s="28">
        <f t="shared" si="58"/>
        <v>4.0912032001922949E-3</v>
      </c>
      <c r="D221" s="28">
        <f t="shared" si="58"/>
        <v>5.1132775143823027E-3</v>
      </c>
      <c r="E221" s="28">
        <f t="shared" si="58"/>
        <v>6.1353518285723104E-3</v>
      </c>
      <c r="F221" s="28">
        <f t="shared" si="58"/>
        <v>7.157426142762319E-3</v>
      </c>
      <c r="G221" s="28">
        <f t="shared" si="58"/>
        <v>8.9084560747601932E-3</v>
      </c>
      <c r="H221" s="28">
        <f t="shared" si="58"/>
        <v>1.0061548202443604E-2</v>
      </c>
      <c r="I221" s="28">
        <f t="shared" si="58"/>
        <v>1.2367732457810431E-2</v>
      </c>
      <c r="J221" s="28">
        <f t="shared" si="58"/>
        <v>3.0282057354823672E-2</v>
      </c>
      <c r="K221" s="28"/>
      <c r="L221" s="28"/>
      <c r="M221" s="28"/>
      <c r="N221" s="28"/>
      <c r="O221" s="28"/>
      <c r="AE221" s="10"/>
      <c r="AF221" s="13"/>
      <c r="AG221" s="13"/>
      <c r="AH221" s="13"/>
      <c r="AI221" s="13"/>
      <c r="AJ221" s="13"/>
      <c r="AK221" s="13"/>
      <c r="AL221" s="13"/>
      <c r="AM221" s="13"/>
      <c r="AN221" s="13"/>
      <c r="AO221" s="21"/>
    </row>
    <row r="222" spans="1:41" x14ac:dyDescent="0.25">
      <c r="A222" s="8" t="s">
        <v>46</v>
      </c>
      <c r="B222" s="28">
        <f t="shared" ref="B222:J222" si="59">B166/$F198/1000000*100</f>
        <v>3.2924978677862276E-3</v>
      </c>
      <c r="C222" s="28">
        <f t="shared" si="59"/>
        <v>4.4055549438853144E-3</v>
      </c>
      <c r="D222" s="28">
        <f t="shared" si="59"/>
        <v>5.9418235273934914E-3</v>
      </c>
      <c r="E222" s="28">
        <f t="shared" si="59"/>
        <v>7.1683127044215016E-3</v>
      </c>
      <c r="F222" s="28">
        <f t="shared" si="59"/>
        <v>8.3948018814495109E-3</v>
      </c>
      <c r="G222" s="28">
        <f t="shared" si="59"/>
        <v>1.0496037799846959E-2</v>
      </c>
      <c r="H222" s="28">
        <f t="shared" si="59"/>
        <v>1.1879748353067055E-2</v>
      </c>
      <c r="I222" s="28">
        <f t="shared" si="59"/>
        <v>1.4647169459507248E-2</v>
      </c>
      <c r="J222" s="28">
        <f t="shared" si="59"/>
        <v>3.6144359335923137E-2</v>
      </c>
      <c r="K222" s="28"/>
      <c r="L222" s="28"/>
      <c r="M222" s="28"/>
      <c r="N222" s="28"/>
      <c r="O222" s="28"/>
      <c r="AE222" s="10"/>
      <c r="AF222" s="13"/>
      <c r="AG222" s="13"/>
      <c r="AH222" s="13"/>
      <c r="AI222" s="13"/>
      <c r="AJ222" s="13"/>
      <c r="AK222" s="13"/>
      <c r="AL222" s="13"/>
      <c r="AM222" s="13"/>
      <c r="AN222" s="13"/>
      <c r="AO222" s="21"/>
    </row>
    <row r="223" spans="1:41" x14ac:dyDescent="0.25">
      <c r="A223" s="8" t="s">
        <v>47</v>
      </c>
      <c r="B223" s="28">
        <f t="shared" ref="B223:J223" si="60">B167/$F199/1000000*100</f>
        <v>4.287619475697598E-3</v>
      </c>
      <c r="C223" s="28">
        <f t="shared" si="60"/>
        <v>5.8777010129820086E-3</v>
      </c>
      <c r="D223" s="28">
        <f t="shared" si="60"/>
        <v>7.1872863994789241E-3</v>
      </c>
      <c r="E223" s="28">
        <f t="shared" si="60"/>
        <v>9.8244978137479906E-3</v>
      </c>
      <c r="F223" s="28">
        <f t="shared" si="60"/>
        <v>1.1576625209502291E-2</v>
      </c>
      <c r="G223" s="28">
        <f t="shared" si="60"/>
        <v>1.4578390807212929E-2</v>
      </c>
      <c r="H223" s="28">
        <f t="shared" si="60"/>
        <v>1.6555120168955922E-2</v>
      </c>
      <c r="I223" s="28">
        <f t="shared" si="60"/>
        <v>2.0508578892441915E-2</v>
      </c>
      <c r="J223" s="28">
        <f t="shared" si="60"/>
        <v>4.5177707621691432E-2</v>
      </c>
      <c r="K223" s="28"/>
      <c r="L223" s="28"/>
      <c r="M223" s="28"/>
      <c r="N223" s="28"/>
      <c r="O223" s="28"/>
      <c r="AE223" s="21"/>
      <c r="AF223" s="21"/>
      <c r="AG223" s="21"/>
      <c r="AH223" s="21"/>
      <c r="AI223" s="21"/>
      <c r="AJ223" s="21"/>
      <c r="AK223" s="21"/>
      <c r="AL223" s="21"/>
      <c r="AM223" s="21"/>
      <c r="AN223" s="21"/>
    </row>
    <row r="224" spans="1:41" x14ac:dyDescent="0.25">
      <c r="A224" s="8" t="s">
        <v>8</v>
      </c>
      <c r="B224" s="28">
        <f t="shared" ref="B224:J224" si="61">B168/$F200/1000000*100</f>
        <v>5.5538734247166481E-3</v>
      </c>
      <c r="C224" s="28">
        <f t="shared" si="61"/>
        <v>7.7799875769148218E-3</v>
      </c>
      <c r="D224" s="28">
        <f t="shared" si="61"/>
        <v>9.6134071180105016E-3</v>
      </c>
      <c r="E224" s="28">
        <f t="shared" si="61"/>
        <v>1.1446826659106183E-2</v>
      </c>
      <c r="F224" s="28">
        <f t="shared" si="61"/>
        <v>1.3280246200201865E-2</v>
      </c>
      <c r="G224" s="28">
        <f t="shared" si="61"/>
        <v>1.9960953288838113E-2</v>
      </c>
      <c r="H224" s="28">
        <f t="shared" si="61"/>
        <v>2.2728374395278306E-2</v>
      </c>
      <c r="I224" s="28">
        <f t="shared" si="61"/>
        <v>2.8263216608158691E-2</v>
      </c>
      <c r="J224" s="28">
        <f t="shared" si="61"/>
        <v>6.2799996829108001E-2</v>
      </c>
      <c r="K224" s="28"/>
      <c r="L224" s="28"/>
      <c r="M224" s="28"/>
      <c r="N224" s="28"/>
      <c r="O224" s="28"/>
    </row>
    <row r="225" spans="1:41" x14ac:dyDescent="0.25">
      <c r="A225" s="8" t="s">
        <v>9</v>
      </c>
      <c r="B225" s="28">
        <f t="shared" ref="B225:J225" si="62">B169/$F201/1000000*100</f>
        <v>6.0809809196186639E-3</v>
      </c>
      <c r="C225" s="28">
        <f t="shared" si="62"/>
        <v>8.8636236098663789E-3</v>
      </c>
      <c r="D225" s="28">
        <f t="shared" si="62"/>
        <v>1.1155398036235982E-2</v>
      </c>
      <c r="E225" s="28">
        <f t="shared" si="62"/>
        <v>1.3447172462605583E-2</v>
      </c>
      <c r="F225" s="28">
        <f t="shared" si="62"/>
        <v>1.5738946888975185E-2</v>
      </c>
      <c r="G225" s="28">
        <f t="shared" si="62"/>
        <v>2.4089830749770492E-2</v>
      </c>
      <c r="H225" s="28">
        <f t="shared" si="62"/>
        <v>2.7549107132820733E-2</v>
      </c>
      <c r="I225" s="28">
        <f t="shared" si="62"/>
        <v>3.446765989892122E-2</v>
      </c>
      <c r="J225" s="28">
        <f t="shared" si="62"/>
        <v>7.7638635175107842E-2</v>
      </c>
      <c r="K225" s="28"/>
      <c r="L225" s="28"/>
      <c r="M225" s="28"/>
      <c r="N225" s="28"/>
      <c r="O225" s="28"/>
    </row>
    <row r="226" spans="1:41" x14ac:dyDescent="0.25">
      <c r="A226" s="8" t="s">
        <v>10</v>
      </c>
      <c r="B226" s="28">
        <f t="shared" ref="B226:J226" si="63">B170/$F202/1000000*100</f>
        <v>7.0241965744104488E-3</v>
      </c>
      <c r="C226" s="28">
        <f t="shared" si="63"/>
        <v>1.0412393896607228E-2</v>
      </c>
      <c r="D226" s="28">
        <f t="shared" si="63"/>
        <v>1.3790086063233538E-2</v>
      </c>
      <c r="E226" s="28">
        <f t="shared" si="63"/>
        <v>1.6845785298393007E-2</v>
      </c>
      <c r="F226" s="28">
        <f t="shared" si="63"/>
        <v>1.9901484533552477E-2</v>
      </c>
      <c r="G226" s="28">
        <f t="shared" si="63"/>
        <v>3.1035996347946224E-2</v>
      </c>
      <c r="H226" s="28">
        <f t="shared" si="63"/>
        <v>3.5648364858679879E-2</v>
      </c>
      <c r="I226" s="28">
        <f t="shared" si="63"/>
        <v>4.4873101880147183E-2</v>
      </c>
      <c r="J226" s="28">
        <f t="shared" si="63"/>
        <v>7.4660505480561704E-2</v>
      </c>
      <c r="K226" s="28"/>
      <c r="L226" s="28"/>
      <c r="M226" s="28"/>
      <c r="N226" s="28"/>
      <c r="O226" s="28"/>
      <c r="AE226" s="15"/>
    </row>
    <row r="227" spans="1:41" x14ac:dyDescent="0.25">
      <c r="A227" s="8" t="s">
        <v>11</v>
      </c>
      <c r="B227" s="28">
        <f t="shared" ref="B227:J227" si="64">B171/$F203/1000000*100</f>
        <v>1.0366449057983562E-2</v>
      </c>
      <c r="C227" s="28">
        <f t="shared" si="64"/>
        <v>1.544874504127873E-2</v>
      </c>
      <c r="D227" s="28">
        <f t="shared" si="64"/>
        <v>1.9549304496817674E-2</v>
      </c>
      <c r="E227" s="28">
        <f t="shared" si="64"/>
        <v>2.3649863952356607E-2</v>
      </c>
      <c r="F227" s="28">
        <f t="shared" si="64"/>
        <v>2.9682380996696605E-2</v>
      </c>
      <c r="G227" s="28">
        <f t="shared" si="64"/>
        <v>4.6384148718287235E-2</v>
      </c>
      <c r="H227" s="28">
        <f t="shared" si="64"/>
        <v>5.3302701484387705E-2</v>
      </c>
      <c r="I227" s="28">
        <f t="shared" si="64"/>
        <v>6.7139807016588671E-2</v>
      </c>
      <c r="J227" s="28">
        <f t="shared" si="64"/>
        <v>0.11182091241721043</v>
      </c>
      <c r="K227" s="28"/>
      <c r="L227" s="28"/>
      <c r="M227" s="28"/>
      <c r="N227" s="28"/>
      <c r="O227" s="28"/>
    </row>
    <row r="228" spans="1:41" x14ac:dyDescent="0.25">
      <c r="A228" s="8" t="s">
        <v>12</v>
      </c>
      <c r="B228" s="28">
        <f t="shared" ref="B228:J228" si="65">B172/$F204/1000000*100</f>
        <v>1.6850708318661679E-2</v>
      </c>
      <c r="C228" s="28">
        <f t="shared" si="65"/>
        <v>2.6615584922051808E-2</v>
      </c>
      <c r="D228" s="28">
        <f t="shared" si="65"/>
        <v>3.4416988469929466E-2</v>
      </c>
      <c r="E228" s="28">
        <f t="shared" si="65"/>
        <v>4.3417538107407783E-2</v>
      </c>
      <c r="F228" s="28">
        <f t="shared" si="65"/>
        <v>5.1618657018485656E-2</v>
      </c>
      <c r="G228" s="28">
        <f t="shared" si="65"/>
        <v>8.8886107639269019E-2</v>
      </c>
      <c r="H228" s="28">
        <f t="shared" si="65"/>
        <v>0.10272321317146998</v>
      </c>
      <c r="I228" s="28">
        <f t="shared" si="65"/>
        <v>0.13039742423587189</v>
      </c>
      <c r="J228" s="28">
        <f t="shared" si="65"/>
        <v>0.19377760257688326</v>
      </c>
      <c r="K228" s="28"/>
      <c r="L228" s="28"/>
      <c r="M228" s="28"/>
      <c r="N228" s="28"/>
      <c r="O228" s="28"/>
    </row>
    <row r="229" spans="1:41" x14ac:dyDescent="0.25">
      <c r="A229" s="8" t="s">
        <v>13</v>
      </c>
      <c r="B229" s="28">
        <f t="shared" ref="B229:J229" si="66">B173/$F205/1000000*100</f>
        <v>2.1254989140247298E-2</v>
      </c>
      <c r="C229" s="28">
        <f t="shared" si="66"/>
        <v>3.8786165531026449E-2</v>
      </c>
      <c r="D229" s="28">
        <f t="shared" si="66"/>
        <v>5.6387549442782868E-2</v>
      </c>
      <c r="E229" s="28">
        <f t="shared" si="66"/>
        <v>7.1990356538538205E-2</v>
      </c>
      <c r="F229" s="28">
        <f t="shared" si="66"/>
        <v>8.7593163634293536E-2</v>
      </c>
      <c r="G229" s="28">
        <f t="shared" si="66"/>
        <v>0.16532578778146198</v>
      </c>
      <c r="H229" s="28">
        <f t="shared" si="66"/>
        <v>0.19299999884586388</v>
      </c>
      <c r="I229" s="28">
        <f t="shared" si="66"/>
        <v>0.24834842097466769</v>
      </c>
      <c r="J229" s="28">
        <f t="shared" si="66"/>
        <v>0.37510877765669043</v>
      </c>
      <c r="K229" s="28"/>
      <c r="L229" s="28"/>
      <c r="M229" s="28"/>
      <c r="N229" s="28"/>
      <c r="O229" s="28"/>
    </row>
    <row r="230" spans="1:41" x14ac:dyDescent="0.25">
      <c r="A230" s="8" t="s">
        <v>14</v>
      </c>
      <c r="B230" s="28">
        <f t="shared" ref="B230:J230" si="67">B174/$F206/1000000*100</f>
        <v>2.6568736425309124E-2</v>
      </c>
      <c r="C230" s="28">
        <f t="shared" si="67"/>
        <v>4.848270691378307E-2</v>
      </c>
      <c r="D230" s="28">
        <f t="shared" si="67"/>
        <v>7.0484436803478601E-2</v>
      </c>
      <c r="E230" s="28">
        <f t="shared" si="67"/>
        <v>8.998794567317274E-2</v>
      </c>
      <c r="F230" s="28">
        <f t="shared" si="67"/>
        <v>0.10949145454286692</v>
      </c>
      <c r="G230" s="28">
        <f t="shared" si="67"/>
        <v>0.20665723472682748</v>
      </c>
      <c r="H230" s="28">
        <f t="shared" si="67"/>
        <v>0.24124999855732987</v>
      </c>
      <c r="I230" s="28">
        <f t="shared" si="67"/>
        <v>0.31043552621833459</v>
      </c>
      <c r="J230" s="28">
        <f t="shared" si="67"/>
        <v>0.44200800745682983</v>
      </c>
      <c r="K230" s="28"/>
      <c r="L230" s="28"/>
      <c r="M230" s="28"/>
      <c r="N230" s="28"/>
      <c r="O230" s="28"/>
      <c r="AE230" s="10"/>
      <c r="AF230" s="10"/>
      <c r="AG230" s="10"/>
      <c r="AH230" s="10"/>
      <c r="AI230" s="10"/>
      <c r="AJ230" s="10"/>
      <c r="AK230" s="10"/>
      <c r="AL230" s="10"/>
      <c r="AM230" s="10"/>
      <c r="AN230" s="10"/>
      <c r="AO230" s="21"/>
    </row>
    <row r="231" spans="1:41" x14ac:dyDescent="0.25">
      <c r="A231" s="8" t="s">
        <v>15</v>
      </c>
      <c r="B231" s="28">
        <f t="shared" ref="B231:J231" si="68">B175/$F207/1000000*100</f>
        <v>2.9601697204453992E-2</v>
      </c>
      <c r="C231" s="28">
        <f t="shared" si="68"/>
        <v>5.8820324522419247E-2</v>
      </c>
      <c r="D231" s="28">
        <f t="shared" si="68"/>
        <v>8.1494041655342991E-2</v>
      </c>
      <c r="E231" s="28">
        <f t="shared" si="68"/>
        <v>0.10416775878826671</v>
      </c>
      <c r="F231" s="28">
        <f t="shared" si="68"/>
        <v>0.14016532136119769</v>
      </c>
      <c r="G231" s="28">
        <f t="shared" si="68"/>
        <v>0.26971969493981174</v>
      </c>
      <c r="H231" s="28">
        <f t="shared" si="68"/>
        <v>0.31584338004714829</v>
      </c>
      <c r="I231" s="28">
        <f t="shared" si="68"/>
        <v>0.40809075026182134</v>
      </c>
      <c r="J231" s="28">
        <f t="shared" si="68"/>
        <v>0.58352072524648158</v>
      </c>
      <c r="K231" s="28"/>
      <c r="L231" s="28"/>
      <c r="M231" s="28"/>
      <c r="N231" s="28"/>
      <c r="O231" s="28"/>
      <c r="AE231" s="15"/>
      <c r="AF231" s="12"/>
      <c r="AG231" s="29"/>
      <c r="AH231" s="29"/>
      <c r="AI231" s="10"/>
      <c r="AJ231" s="10"/>
      <c r="AK231" s="10"/>
      <c r="AL231" s="10"/>
      <c r="AM231" s="10"/>
      <c r="AN231" s="10"/>
      <c r="AO231" s="21"/>
    </row>
    <row r="232" spans="1:41" x14ac:dyDescent="0.25">
      <c r="A232" s="8" t="s">
        <v>16</v>
      </c>
      <c r="B232" s="28">
        <f t="shared" ref="B232:J232" si="69">B176/$F208/1000000*100</f>
        <v>4.4402545806681001E-2</v>
      </c>
      <c r="C232" s="28">
        <f t="shared" si="69"/>
        <v>8.8230486783628867E-2</v>
      </c>
      <c r="D232" s="28">
        <f t="shared" si="69"/>
        <v>0.12224106248301449</v>
      </c>
      <c r="E232" s="28">
        <f t="shared" si="69"/>
        <v>0.15625163818240009</v>
      </c>
      <c r="F232" s="28">
        <f t="shared" si="69"/>
        <v>0.19026221388178571</v>
      </c>
      <c r="G232" s="28">
        <f t="shared" si="69"/>
        <v>0.40457954240971772</v>
      </c>
      <c r="H232" s="28">
        <f t="shared" si="69"/>
        <v>0.47376507007072244</v>
      </c>
      <c r="I232" s="28">
        <f t="shared" si="69"/>
        <v>0.61213612539273199</v>
      </c>
      <c r="J232" s="28">
        <f t="shared" si="69"/>
        <v>0.87528108786972236</v>
      </c>
      <c r="K232" s="28"/>
      <c r="L232" s="28"/>
      <c r="M232" s="28"/>
      <c r="N232" s="28"/>
      <c r="O232" s="28"/>
      <c r="AE232" s="10"/>
      <c r="AF232" s="30"/>
      <c r="AG232" s="30"/>
      <c r="AH232" s="30"/>
      <c r="AI232" s="30"/>
      <c r="AJ232" s="30"/>
      <c r="AK232" s="30"/>
      <c r="AL232" s="30"/>
      <c r="AM232" s="30"/>
      <c r="AN232" s="31"/>
      <c r="AO232" s="21"/>
    </row>
    <row r="233" spans="1:41" x14ac:dyDescent="0.25">
      <c r="A233" s="8" t="s">
        <v>17</v>
      </c>
      <c r="B233" s="28">
        <f t="shared" ref="B233:J233" si="70">B177/$F209/1000000*100</f>
        <v>7.473215359812975E-2</v>
      </c>
      <c r="C233" s="28">
        <f t="shared" si="70"/>
        <v>0.15572611283202192</v>
      </c>
      <c r="D233" s="28">
        <f t="shared" si="70"/>
        <v>0.23040918695079676</v>
      </c>
      <c r="E233" s="28">
        <f t="shared" si="70"/>
        <v>0.29843033834956795</v>
      </c>
      <c r="F233" s="28">
        <f t="shared" si="70"/>
        <v>0.36645148974833908</v>
      </c>
      <c r="G233" s="28">
        <f t="shared" si="70"/>
        <v>0.7950861468042032</v>
      </c>
      <c r="H233" s="28">
        <f t="shared" si="70"/>
        <v>0.93345720212621253</v>
      </c>
      <c r="I233" s="28">
        <f t="shared" si="70"/>
        <v>1.2101993127702317</v>
      </c>
      <c r="J233" s="28">
        <f t="shared" si="70"/>
        <v>1.4677095915838803</v>
      </c>
      <c r="K233" s="28"/>
      <c r="L233" s="28"/>
      <c r="M233" s="28"/>
      <c r="N233" s="28"/>
      <c r="O233" s="28"/>
      <c r="AE233" s="10"/>
      <c r="AF233" s="30"/>
      <c r="AG233" s="30"/>
      <c r="AH233" s="30"/>
      <c r="AI233" s="30"/>
      <c r="AJ233" s="30"/>
      <c r="AK233" s="30"/>
      <c r="AL233" s="30"/>
      <c r="AM233" s="30"/>
      <c r="AN233" s="31"/>
      <c r="AO233" s="21"/>
    </row>
    <row r="234" spans="1:41" x14ac:dyDescent="0.25">
      <c r="A234" s="8"/>
      <c r="B234" s="22"/>
      <c r="C234" s="22"/>
      <c r="D234" s="22"/>
      <c r="E234" s="22"/>
      <c r="F234" s="22"/>
      <c r="G234" s="22"/>
      <c r="H234" s="22"/>
      <c r="I234" s="22"/>
      <c r="J234" s="22"/>
      <c r="K234" s="22"/>
      <c r="L234" s="22"/>
      <c r="M234" s="22"/>
      <c r="AE234" s="10"/>
      <c r="AF234" s="30"/>
      <c r="AG234" s="30"/>
      <c r="AH234" s="30"/>
      <c r="AI234" s="30"/>
      <c r="AJ234" s="30"/>
      <c r="AK234" s="30"/>
      <c r="AL234" s="30"/>
      <c r="AM234" s="30"/>
      <c r="AN234" s="31"/>
      <c r="AO234" s="21"/>
    </row>
    <row r="235" spans="1:41" x14ac:dyDescent="0.25">
      <c r="A235" s="8"/>
      <c r="B235" s="12"/>
      <c r="C235" s="23"/>
      <c r="D235" s="12"/>
      <c r="E235" s="17"/>
      <c r="F235" s="17"/>
      <c r="G235" s="17"/>
      <c r="I235" s="19"/>
    </row>
    <row r="236" spans="1:41" x14ac:dyDescent="0.25">
      <c r="A236" s="16" t="s">
        <v>76</v>
      </c>
      <c r="B236" s="12"/>
      <c r="C236" s="23"/>
      <c r="D236" s="12"/>
      <c r="E236" s="17"/>
      <c r="F236" s="17"/>
      <c r="G236" s="17"/>
      <c r="I236" s="19"/>
    </row>
    <row r="238" spans="1:41" x14ac:dyDescent="0.25">
      <c r="A238" s="113" t="s">
        <v>52</v>
      </c>
      <c r="B238" s="178"/>
      <c r="C238" s="4"/>
      <c r="D238" s="5"/>
      <c r="E238" s="5"/>
      <c r="F238" s="6"/>
      <c r="G238" s="6"/>
      <c r="H238" s="3"/>
      <c r="I238" s="3"/>
      <c r="J238" s="3"/>
      <c r="K238" s="3"/>
      <c r="L238" s="3"/>
      <c r="M238" s="3"/>
      <c r="N238" s="3"/>
      <c r="O238" s="1"/>
      <c r="P238" s="1"/>
      <c r="Q238" s="1"/>
      <c r="R238" s="1"/>
      <c r="S238" s="1"/>
      <c r="T238" s="1"/>
      <c r="U238" s="1"/>
      <c r="V238" s="1"/>
      <c r="W238" s="1"/>
    </row>
    <row r="239" spans="1:41" x14ac:dyDescent="0.25">
      <c r="A239" s="7"/>
      <c r="B239" s="4"/>
      <c r="C239" s="4"/>
      <c r="D239" s="5"/>
      <c r="E239" s="5"/>
      <c r="F239" s="6"/>
      <c r="G239" s="6"/>
      <c r="H239" s="3"/>
      <c r="I239" s="3"/>
      <c r="J239" s="3"/>
      <c r="K239" s="3"/>
      <c r="L239" s="3"/>
      <c r="M239" s="3"/>
      <c r="N239" s="3"/>
      <c r="O239" s="1"/>
      <c r="P239" s="1"/>
      <c r="Q239" s="1"/>
      <c r="R239" s="1"/>
      <c r="S239" s="1"/>
      <c r="T239" s="1"/>
      <c r="U239" s="1"/>
      <c r="V239" s="1"/>
      <c r="W239" s="1"/>
    </row>
    <row r="240" spans="1:41" x14ac:dyDescent="0.25">
      <c r="A240" s="111"/>
      <c r="B240" s="42"/>
      <c r="C240" s="42"/>
      <c r="D240" s="42"/>
      <c r="E240" s="43" t="s">
        <v>42</v>
      </c>
      <c r="F240" s="42"/>
      <c r="G240" s="42"/>
      <c r="H240" s="42"/>
      <c r="I240" s="46">
        <f>'NTS GCD11 Option Two'!$B$129</f>
        <v>6.756506378150271</v>
      </c>
      <c r="J240" s="42"/>
      <c r="K240" s="42"/>
      <c r="L240" s="42"/>
      <c r="M240" s="42"/>
      <c r="N240" s="42"/>
      <c r="O240" s="42"/>
      <c r="P240" s="42"/>
      <c r="Q240" s="42"/>
      <c r="R240" s="42"/>
      <c r="S240" s="42"/>
      <c r="T240" s="42"/>
      <c r="U240" s="42"/>
      <c r="V240" s="72"/>
      <c r="W240" s="73"/>
    </row>
    <row r="241" spans="1:23" x14ac:dyDescent="0.25">
      <c r="A241" s="143" t="s">
        <v>32</v>
      </c>
      <c r="B241" s="47" t="s">
        <v>33</v>
      </c>
      <c r="C241" s="39"/>
      <c r="D241" s="40"/>
      <c r="E241" s="40"/>
      <c r="F241" s="41"/>
      <c r="G241" s="41"/>
      <c r="H241" s="42"/>
      <c r="I241" s="42"/>
      <c r="J241" s="42"/>
      <c r="K241" s="42"/>
      <c r="L241" s="42"/>
      <c r="M241" s="42"/>
      <c r="N241" s="77"/>
      <c r="P241" s="42"/>
      <c r="Q241" s="42"/>
      <c r="R241" s="42"/>
      <c r="S241" s="42"/>
      <c r="T241" s="42"/>
      <c r="V241" s="72"/>
      <c r="W241" s="72"/>
    </row>
    <row r="242" spans="1:23" x14ac:dyDescent="0.25">
      <c r="A242" s="112" t="s">
        <v>88</v>
      </c>
      <c r="B242" s="144"/>
      <c r="C242" s="48"/>
      <c r="D242" s="40"/>
      <c r="E242" s="40"/>
      <c r="F242" s="41"/>
      <c r="G242" s="41"/>
      <c r="H242" s="42"/>
      <c r="I242" s="42"/>
      <c r="J242" s="42"/>
      <c r="K242" s="42"/>
      <c r="L242" s="42"/>
      <c r="M242" s="42"/>
      <c r="N242" s="42"/>
      <c r="O242" s="42"/>
      <c r="P242" s="42"/>
      <c r="Q242" s="42"/>
      <c r="R242" s="42"/>
      <c r="S242" s="42"/>
      <c r="T242" s="42"/>
      <c r="U242" s="42"/>
      <c r="V242" s="72"/>
      <c r="W242" s="72"/>
    </row>
    <row r="243" spans="1:23" ht="15" x14ac:dyDescent="0.2">
      <c r="A243" s="102" t="s">
        <v>57</v>
      </c>
      <c r="B243" s="100">
        <f>B215</f>
        <v>6.4499560002256862E-4</v>
      </c>
      <c r="C243" s="101">
        <f>LN(B243)</f>
        <v>-7.3462670628622053</v>
      </c>
      <c r="D243" s="40"/>
      <c r="E243" s="40"/>
      <c r="F243" s="41"/>
      <c r="G243" s="41"/>
      <c r="H243" s="42"/>
      <c r="I243" s="42"/>
      <c r="J243" s="42"/>
      <c r="K243" s="42"/>
      <c r="L243" s="42"/>
      <c r="M243" s="42"/>
      <c r="N243" s="42"/>
      <c r="O243" s="42"/>
      <c r="P243" s="42"/>
      <c r="Q243" s="42"/>
      <c r="R243" s="42"/>
      <c r="S243" s="42"/>
      <c r="T243" s="42"/>
      <c r="U243" s="42"/>
      <c r="V243" s="72"/>
      <c r="W243" s="72"/>
    </row>
    <row r="244" spans="1:23" ht="15" x14ac:dyDescent="0.2">
      <c r="A244" s="102" t="s">
        <v>58</v>
      </c>
      <c r="B244" s="100">
        <f t="shared" ref="B244:B247" si="71">B216</f>
        <v>7.7399472002708219E-4</v>
      </c>
      <c r="C244" s="101">
        <f>LN(B244)</f>
        <v>-7.1639455060682513</v>
      </c>
      <c r="D244" s="40"/>
      <c r="E244" s="40"/>
      <c r="F244" s="41"/>
      <c r="G244" s="41"/>
      <c r="H244" s="42"/>
      <c r="I244" s="42"/>
      <c r="J244" s="42"/>
      <c r="K244" s="42"/>
      <c r="L244" s="42"/>
      <c r="M244" s="42"/>
      <c r="N244" s="42"/>
      <c r="O244" s="42"/>
      <c r="P244" s="42"/>
      <c r="Q244" s="42"/>
      <c r="R244" s="42"/>
      <c r="S244" s="42"/>
      <c r="T244" s="42"/>
      <c r="U244" s="42"/>
      <c r="V244" s="72"/>
      <c r="W244" s="72"/>
    </row>
    <row r="245" spans="1:23" ht="15" x14ac:dyDescent="0.2">
      <c r="A245" s="102" t="s">
        <v>59</v>
      </c>
      <c r="B245" s="100">
        <f t="shared" si="71"/>
        <v>9.6749340003385298E-4</v>
      </c>
      <c r="C245" s="101">
        <f>LN(B245)</f>
        <v>-6.9408019547540407</v>
      </c>
      <c r="D245" s="40"/>
      <c r="E245" s="40"/>
      <c r="F245" s="41"/>
      <c r="G245" s="41"/>
      <c r="H245" s="42"/>
      <c r="I245" s="42"/>
      <c r="J245" s="42"/>
      <c r="K245" s="42"/>
      <c r="L245" s="42"/>
      <c r="M245" s="42"/>
      <c r="N245" s="42"/>
      <c r="O245" s="42"/>
      <c r="P245" s="42"/>
      <c r="Q245" s="42"/>
      <c r="R245" s="42"/>
      <c r="S245" s="42"/>
      <c r="T245" s="42"/>
      <c r="U245" s="42"/>
      <c r="V245" s="72"/>
      <c r="W245" s="72"/>
    </row>
    <row r="246" spans="1:23" ht="15" x14ac:dyDescent="0.2">
      <c r="A246" s="102" t="s">
        <v>60</v>
      </c>
      <c r="B246" s="100">
        <f t="shared" si="71"/>
        <v>1.2899912000451372E-3</v>
      </c>
      <c r="C246" s="101">
        <f>LN(B246)</f>
        <v>-6.6531198823022599</v>
      </c>
      <c r="D246" s="40"/>
      <c r="E246" s="40"/>
      <c r="F246" s="41"/>
      <c r="G246" s="41"/>
      <c r="H246" s="42"/>
      <c r="I246" s="42"/>
      <c r="J246" s="42"/>
      <c r="K246" s="42"/>
      <c r="L246" s="42"/>
      <c r="M246" s="42"/>
      <c r="N246" s="42"/>
      <c r="O246" s="42"/>
      <c r="P246" s="42"/>
      <c r="Q246" s="42"/>
      <c r="R246" s="42"/>
      <c r="S246" s="42"/>
      <c r="T246" s="42"/>
      <c r="U246" s="42"/>
      <c r="V246" s="72"/>
      <c r="W246" s="72"/>
    </row>
    <row r="247" spans="1:23" ht="15" x14ac:dyDescent="0.2">
      <c r="A247" s="102" t="s">
        <v>61</v>
      </c>
      <c r="B247" s="100">
        <f t="shared" si="71"/>
        <v>1.934986800067706E-3</v>
      </c>
      <c r="C247" s="101">
        <f>LN(B247)</f>
        <v>-6.2476547741940962</v>
      </c>
      <c r="D247" s="40"/>
      <c r="E247" s="40"/>
      <c r="F247" s="41"/>
      <c r="G247" s="41"/>
      <c r="H247" s="42"/>
      <c r="I247" s="42"/>
      <c r="J247" s="42"/>
      <c r="K247" s="42"/>
      <c r="L247" s="42"/>
      <c r="M247" s="42"/>
      <c r="N247" s="42"/>
      <c r="O247" s="42"/>
      <c r="P247" s="42"/>
      <c r="Q247" s="42"/>
      <c r="R247" s="42"/>
      <c r="S247" s="42"/>
      <c r="T247" s="42"/>
      <c r="U247" s="42"/>
      <c r="V247" s="72"/>
      <c r="W247" s="72"/>
    </row>
    <row r="248" spans="1:23" ht="15" x14ac:dyDescent="0.2">
      <c r="A248" s="50" t="s">
        <v>44</v>
      </c>
      <c r="B248" s="49">
        <f>B220</f>
        <v>2.5799824000902745E-3</v>
      </c>
      <c r="C248" s="48">
        <f t="shared" ref="C248:C260" si="72">LN(B248)</f>
        <v>-5.9599727017423145</v>
      </c>
      <c r="D248" s="40"/>
      <c r="E248" s="40"/>
      <c r="F248" s="41"/>
      <c r="G248" s="41"/>
      <c r="H248" s="42"/>
      <c r="I248" s="42"/>
      <c r="J248" s="42"/>
      <c r="K248" s="42"/>
      <c r="L248" s="42"/>
      <c r="M248" s="42"/>
      <c r="N248" s="42"/>
      <c r="O248" s="42"/>
      <c r="P248" s="42"/>
      <c r="Q248" s="42"/>
      <c r="R248" s="42"/>
      <c r="S248" s="42"/>
      <c r="T248" s="42"/>
      <c r="U248" s="42"/>
      <c r="V248" s="72"/>
      <c r="W248" s="72"/>
    </row>
    <row r="249" spans="1:23" ht="15" x14ac:dyDescent="0.2">
      <c r="A249" s="50" t="s">
        <v>45</v>
      </c>
      <c r="B249" s="49">
        <f>B221</f>
        <v>2.9055061313762488E-3</v>
      </c>
      <c r="C249" s="48">
        <f t="shared" si="72"/>
        <v>-5.841147676185896</v>
      </c>
      <c r="D249" s="40"/>
      <c r="E249" s="40"/>
      <c r="F249" s="41"/>
      <c r="G249" s="41"/>
      <c r="H249" s="42"/>
      <c r="I249" s="42"/>
      <c r="J249" s="42"/>
      <c r="K249" s="42"/>
      <c r="L249" s="42"/>
      <c r="M249" s="42"/>
      <c r="N249" s="42"/>
      <c r="O249" s="42"/>
      <c r="P249" s="42"/>
      <c r="Q249" s="42"/>
      <c r="R249" s="42"/>
      <c r="S249" s="42"/>
      <c r="T249" s="42"/>
      <c r="U249" s="42"/>
      <c r="V249" s="72"/>
      <c r="W249" s="72"/>
    </row>
    <row r="250" spans="1:23" ht="15" x14ac:dyDescent="0.2">
      <c r="A250" s="50" t="s">
        <v>46</v>
      </c>
      <c r="B250" s="49">
        <f t="shared" ref="B250:B260" si="73">B222</f>
        <v>3.2924978677862276E-3</v>
      </c>
      <c r="C250" s="48">
        <f t="shared" si="72"/>
        <v>-5.7161087719442447</v>
      </c>
      <c r="D250" s="40"/>
      <c r="E250" s="40"/>
      <c r="F250" s="41"/>
      <c r="G250" s="41"/>
      <c r="H250" s="42"/>
      <c r="I250" s="42"/>
      <c r="J250" s="42"/>
      <c r="K250" s="42"/>
      <c r="L250" s="42"/>
      <c r="M250" s="42"/>
      <c r="N250" s="42"/>
      <c r="O250" s="42"/>
      <c r="P250" s="42"/>
      <c r="Q250" s="42"/>
      <c r="R250" s="42"/>
      <c r="S250" s="42"/>
      <c r="T250" s="42"/>
      <c r="U250" s="42"/>
      <c r="V250" s="72"/>
      <c r="W250" s="72"/>
    </row>
    <row r="251" spans="1:23" ht="15" x14ac:dyDescent="0.2">
      <c r="A251" s="50" t="s">
        <v>47</v>
      </c>
      <c r="B251" s="49">
        <f t="shared" si="73"/>
        <v>4.287619475697598E-3</v>
      </c>
      <c r="C251" s="48">
        <f t="shared" si="72"/>
        <v>-5.4520236008264122</v>
      </c>
      <c r="D251" s="40"/>
      <c r="E251" s="40"/>
      <c r="F251" s="41"/>
      <c r="G251" s="41"/>
      <c r="H251" s="42"/>
      <c r="I251" s="42"/>
      <c r="J251" s="42"/>
      <c r="K251" s="42"/>
      <c r="L251" s="42"/>
      <c r="M251" s="42"/>
      <c r="N251" s="42"/>
      <c r="O251" s="42"/>
      <c r="P251" s="42"/>
      <c r="Q251" s="42"/>
      <c r="R251" s="42"/>
      <c r="S251" s="42"/>
      <c r="T251" s="42"/>
      <c r="U251" s="42"/>
      <c r="V251" s="72"/>
      <c r="W251" s="72"/>
    </row>
    <row r="252" spans="1:23" ht="15" x14ac:dyDescent="0.2">
      <c r="A252" s="50" t="s">
        <v>8</v>
      </c>
      <c r="B252" s="49">
        <f t="shared" si="73"/>
        <v>5.5538734247166481E-3</v>
      </c>
      <c r="C252" s="48">
        <f t="shared" si="72"/>
        <v>-5.1932596802894082</v>
      </c>
      <c r="D252" s="40"/>
      <c r="E252" s="40"/>
      <c r="F252" s="41"/>
      <c r="G252" s="41"/>
      <c r="H252" s="42"/>
      <c r="I252" s="42"/>
      <c r="J252" s="42"/>
      <c r="K252" s="42"/>
      <c r="L252" s="42"/>
      <c r="M252" s="42"/>
      <c r="N252" s="42"/>
      <c r="O252" s="42"/>
      <c r="P252" s="42"/>
      <c r="Q252" s="42"/>
      <c r="R252" s="42"/>
      <c r="S252" s="42"/>
      <c r="T252" s="42"/>
      <c r="U252" s="42"/>
      <c r="V252" s="72"/>
      <c r="W252" s="44"/>
    </row>
    <row r="253" spans="1:23" ht="15" x14ac:dyDescent="0.2">
      <c r="A253" s="50" t="s">
        <v>9</v>
      </c>
      <c r="B253" s="49">
        <f t="shared" si="73"/>
        <v>6.0809809196186639E-3</v>
      </c>
      <c r="C253" s="48">
        <f t="shared" si="72"/>
        <v>-5.102589260553632</v>
      </c>
      <c r="D253" s="40"/>
      <c r="E253" s="40"/>
      <c r="F253" s="41"/>
      <c r="G253" s="41"/>
      <c r="H253" s="42"/>
      <c r="I253" s="42"/>
      <c r="J253" s="42"/>
      <c r="K253" s="42"/>
      <c r="L253" s="42"/>
      <c r="M253" s="42"/>
      <c r="N253" s="42"/>
      <c r="O253" s="42"/>
      <c r="P253" s="42"/>
      <c r="Q253" s="42"/>
      <c r="R253" s="42"/>
      <c r="S253" s="42"/>
      <c r="T253" s="42"/>
      <c r="U253" s="42"/>
      <c r="V253" s="72"/>
      <c r="W253" s="44"/>
    </row>
    <row r="254" spans="1:23" ht="15" x14ac:dyDescent="0.2">
      <c r="A254" s="50" t="s">
        <v>10</v>
      </c>
      <c r="B254" s="49">
        <f t="shared" si="73"/>
        <v>7.0241965744104488E-3</v>
      </c>
      <c r="C254" s="48">
        <f t="shared" si="72"/>
        <v>-4.958394436934654</v>
      </c>
      <c r="D254" s="40"/>
      <c r="E254" s="40"/>
      <c r="F254" s="41"/>
      <c r="G254" s="41"/>
      <c r="H254" s="42"/>
      <c r="I254" s="42"/>
      <c r="J254" s="42"/>
      <c r="K254" s="42"/>
      <c r="L254" s="42"/>
      <c r="M254" s="42"/>
      <c r="N254" s="42"/>
      <c r="O254" s="42"/>
      <c r="P254" s="42"/>
      <c r="Q254" s="42"/>
      <c r="R254" s="42"/>
      <c r="S254" s="42"/>
      <c r="T254" s="42"/>
      <c r="U254" s="42"/>
      <c r="V254" s="72"/>
      <c r="W254" s="74"/>
    </row>
    <row r="255" spans="1:23" ht="15" x14ac:dyDescent="0.2">
      <c r="A255" s="50" t="s">
        <v>11</v>
      </c>
      <c r="B255" s="49">
        <f t="shared" si="73"/>
        <v>1.0366449057983562E-2</v>
      </c>
      <c r="C255" s="48">
        <f t="shared" si="72"/>
        <v>-4.5691807398766731</v>
      </c>
      <c r="D255" s="40"/>
      <c r="E255" s="40"/>
      <c r="F255" s="41"/>
      <c r="G255" s="41"/>
      <c r="H255" s="42"/>
      <c r="I255" s="42"/>
      <c r="J255" s="42"/>
      <c r="K255" s="42"/>
      <c r="L255" s="42"/>
      <c r="M255" s="42"/>
      <c r="N255" s="42"/>
      <c r="O255" s="42"/>
      <c r="P255" s="42"/>
      <c r="Q255" s="42"/>
      <c r="R255" s="42"/>
      <c r="S255" s="42"/>
      <c r="T255" s="42"/>
      <c r="U255" s="42"/>
      <c r="V255" s="72"/>
      <c r="W255" s="74"/>
    </row>
    <row r="256" spans="1:23" ht="15" x14ac:dyDescent="0.2">
      <c r="A256" s="50" t="s">
        <v>12</v>
      </c>
      <c r="B256" s="49">
        <f t="shared" si="73"/>
        <v>1.6850708318661679E-2</v>
      </c>
      <c r="C256" s="48">
        <f t="shared" si="72"/>
        <v>-4.0833625863514573</v>
      </c>
      <c r="D256" s="40"/>
      <c r="E256" s="40"/>
      <c r="F256" s="41"/>
      <c r="G256" s="41"/>
      <c r="H256" s="42"/>
      <c r="I256" s="42"/>
      <c r="J256" s="42"/>
      <c r="K256" s="42"/>
      <c r="L256" s="42"/>
      <c r="M256" s="42"/>
      <c r="N256" s="42"/>
      <c r="O256" s="42"/>
      <c r="P256" s="42"/>
      <c r="Q256" s="42"/>
      <c r="R256" s="42"/>
      <c r="S256" s="42"/>
      <c r="T256" s="42"/>
      <c r="U256" s="42"/>
      <c r="V256" s="72"/>
      <c r="W256" s="72"/>
    </row>
    <row r="257" spans="1:23" ht="15" x14ac:dyDescent="0.2">
      <c r="A257" s="50" t="s">
        <v>13</v>
      </c>
      <c r="B257" s="49">
        <f t="shared" si="73"/>
        <v>2.1254989140247298E-2</v>
      </c>
      <c r="C257" s="48">
        <f t="shared" si="72"/>
        <v>-3.8511636280984818</v>
      </c>
      <c r="D257" s="40"/>
      <c r="E257" s="40"/>
      <c r="F257" s="41"/>
      <c r="G257" s="41"/>
      <c r="H257" s="42"/>
      <c r="I257" s="42"/>
      <c r="J257" s="42"/>
      <c r="K257" s="42"/>
      <c r="L257" s="42"/>
      <c r="M257" s="42"/>
      <c r="N257" s="42"/>
      <c r="O257" s="42"/>
      <c r="P257" s="42"/>
      <c r="Q257" s="42"/>
      <c r="R257" s="42"/>
      <c r="S257" s="42"/>
      <c r="T257" s="42"/>
      <c r="U257" s="42"/>
      <c r="V257" s="72"/>
      <c r="W257" s="75"/>
    </row>
    <row r="258" spans="1:23" x14ac:dyDescent="0.25">
      <c r="A258" s="50" t="s">
        <v>14</v>
      </c>
      <c r="B258" s="49">
        <f t="shared" si="73"/>
        <v>2.6568736425309124E-2</v>
      </c>
      <c r="C258" s="48">
        <f t="shared" si="72"/>
        <v>-3.6280200767842721</v>
      </c>
      <c r="D258" s="40"/>
      <c r="E258" s="40"/>
      <c r="F258" s="41"/>
      <c r="G258" s="41"/>
      <c r="H258" s="42"/>
      <c r="I258" s="42"/>
      <c r="J258" s="42"/>
      <c r="K258" s="42"/>
      <c r="L258" s="42"/>
      <c r="M258" s="42"/>
      <c r="N258" s="42"/>
      <c r="O258" s="42"/>
      <c r="P258" s="42"/>
      <c r="Q258" s="42"/>
      <c r="R258" s="42"/>
      <c r="S258" s="42"/>
      <c r="T258" s="42"/>
      <c r="U258" s="42"/>
      <c r="V258" s="72"/>
      <c r="W258" s="76"/>
    </row>
    <row r="259" spans="1:23" x14ac:dyDescent="0.25">
      <c r="A259" s="50" t="s">
        <v>15</v>
      </c>
      <c r="B259" s="49">
        <f t="shared" si="73"/>
        <v>2.9601697204453992E-2</v>
      </c>
      <c r="C259" s="48">
        <f t="shared" si="72"/>
        <v>-3.5199235813075713</v>
      </c>
      <c r="D259" s="40"/>
      <c r="E259" s="40"/>
      <c r="F259" s="41"/>
      <c r="G259" s="41"/>
      <c r="H259" s="42"/>
      <c r="I259" s="42"/>
      <c r="J259" s="42"/>
      <c r="K259" s="42"/>
      <c r="L259" s="42"/>
      <c r="M259" s="42"/>
      <c r="N259" s="42"/>
      <c r="O259" s="42"/>
      <c r="P259" s="42"/>
      <c r="Q259" s="42"/>
      <c r="R259" s="42"/>
      <c r="S259" s="42"/>
      <c r="T259" s="42"/>
      <c r="U259" s="42"/>
      <c r="V259" s="72"/>
      <c r="W259" s="76"/>
    </row>
    <row r="260" spans="1:23" x14ac:dyDescent="0.25">
      <c r="A260" s="50" t="s">
        <v>16</v>
      </c>
      <c r="B260" s="49">
        <f t="shared" si="73"/>
        <v>4.4402545806681001E-2</v>
      </c>
      <c r="C260" s="48">
        <f t="shared" si="72"/>
        <v>-3.1144584731994067</v>
      </c>
      <c r="D260" s="40"/>
      <c r="E260" s="40"/>
      <c r="F260" s="41"/>
      <c r="G260" s="41"/>
      <c r="H260" s="42"/>
      <c r="I260" s="42"/>
      <c r="J260" s="42"/>
      <c r="K260" s="42"/>
      <c r="L260" s="42"/>
      <c r="M260" s="42"/>
      <c r="N260" s="42"/>
      <c r="O260" s="42"/>
      <c r="P260" s="42"/>
      <c r="Q260" s="42"/>
      <c r="R260" s="42"/>
      <c r="S260" s="42"/>
      <c r="T260" s="42"/>
      <c r="U260" s="42"/>
      <c r="V260" s="42"/>
      <c r="W260" s="38"/>
    </row>
    <row r="261" spans="1:23" x14ac:dyDescent="0.25">
      <c r="A261" s="50" t="s">
        <v>17</v>
      </c>
      <c r="B261" s="49">
        <f>B233</f>
        <v>7.473215359812975E-2</v>
      </c>
      <c r="C261" s="48">
        <f>LN(B261)</f>
        <v>-2.5938448430672536</v>
      </c>
      <c r="D261" s="40"/>
      <c r="E261" s="40"/>
      <c r="F261" s="41"/>
      <c r="G261" s="41"/>
      <c r="H261" s="42"/>
      <c r="I261" s="42"/>
      <c r="J261" s="42"/>
      <c r="K261" s="42"/>
      <c r="L261" s="42"/>
      <c r="M261" s="42"/>
      <c r="N261" s="42"/>
      <c r="O261" s="42"/>
      <c r="P261" s="42"/>
      <c r="Q261" s="42"/>
      <c r="R261" s="42"/>
      <c r="S261" s="42"/>
      <c r="T261" s="42"/>
      <c r="U261" s="42"/>
      <c r="V261" s="42"/>
      <c r="W261" s="38"/>
    </row>
    <row r="262" spans="1:23" ht="16.5" thickBot="1" x14ac:dyDescent="0.3">
      <c r="A262" s="38"/>
      <c r="B262" s="49"/>
      <c r="C262" s="39"/>
      <c r="D262" s="40"/>
      <c r="E262" s="40"/>
      <c r="F262" s="41"/>
      <c r="G262" s="41"/>
      <c r="H262" s="42"/>
      <c r="I262" s="42"/>
      <c r="J262" s="42"/>
      <c r="K262" s="42"/>
      <c r="L262" s="42"/>
      <c r="M262" s="42"/>
      <c r="N262" s="42"/>
      <c r="O262" s="42"/>
      <c r="P262" s="42"/>
      <c r="Q262" s="42"/>
      <c r="R262" s="42"/>
      <c r="S262" s="42"/>
      <c r="T262" s="42"/>
      <c r="U262" s="42"/>
      <c r="V262" s="42"/>
      <c r="W262" s="45"/>
    </row>
    <row r="263" spans="1:23" ht="16.5" thickBot="1" x14ac:dyDescent="0.3">
      <c r="A263" s="38"/>
      <c r="B263" s="39"/>
      <c r="C263" s="39"/>
      <c r="D263" s="40"/>
      <c r="E263" s="40"/>
      <c r="F263" s="41"/>
      <c r="G263" s="41"/>
      <c r="H263" s="42"/>
      <c r="I263" s="42"/>
      <c r="J263" s="93" t="s">
        <v>112</v>
      </c>
      <c r="K263" s="3"/>
      <c r="L263" s="195">
        <v>-0.70760000000000001</v>
      </c>
      <c r="M263" s="81"/>
      <c r="O263" s="42"/>
      <c r="P263" s="42"/>
      <c r="Q263" s="42"/>
      <c r="R263" s="42"/>
      <c r="S263" s="42"/>
      <c r="T263" s="42"/>
      <c r="U263" s="42"/>
      <c r="V263" s="42"/>
      <c r="W263" s="45"/>
    </row>
    <row r="264" spans="1:23" ht="16.5" thickBot="1" x14ac:dyDescent="0.3">
      <c r="D264" s="40"/>
      <c r="E264" s="40"/>
      <c r="F264" s="41"/>
      <c r="G264" s="41"/>
      <c r="H264" s="42"/>
      <c r="I264" s="42"/>
      <c r="J264" s="110" t="s">
        <v>113</v>
      </c>
      <c r="K264" s="42"/>
      <c r="L264" s="42"/>
      <c r="M264" s="42"/>
      <c r="N264" s="42"/>
      <c r="S264" s="42"/>
      <c r="T264" s="42"/>
      <c r="U264" s="42"/>
      <c r="V264" s="42"/>
      <c r="W264" s="45"/>
    </row>
    <row r="265" spans="1:23" ht="16.5" thickBot="1" x14ac:dyDescent="0.3">
      <c r="A265" s="94" t="s">
        <v>53</v>
      </c>
      <c r="D265" s="40"/>
      <c r="E265" s="40"/>
      <c r="F265" s="41"/>
      <c r="G265" s="41"/>
      <c r="H265" s="42"/>
      <c r="I265" s="42"/>
      <c r="J265" s="111" t="s">
        <v>114</v>
      </c>
      <c r="K265" s="42"/>
      <c r="L265" s="193">
        <f>EXP(7.2597)</f>
        <v>1421.8299242351634</v>
      </c>
      <c r="M265" s="95" t="s">
        <v>43</v>
      </c>
      <c r="S265" s="42"/>
      <c r="T265" s="42"/>
      <c r="U265" s="42"/>
      <c r="V265" s="42"/>
      <c r="W265" s="45"/>
    </row>
    <row r="266" spans="1:23" x14ac:dyDescent="0.25">
      <c r="A266" s="94"/>
      <c r="D266" s="40"/>
      <c r="E266" s="40"/>
      <c r="F266" s="41"/>
      <c r="G266" s="41"/>
      <c r="H266" s="42"/>
      <c r="I266" s="42"/>
      <c r="J266" s="43"/>
      <c r="K266" s="42"/>
      <c r="L266" s="42"/>
      <c r="M266" s="51"/>
      <c r="N266" s="42"/>
      <c r="S266" s="42"/>
      <c r="T266" s="42"/>
      <c r="U266" s="42"/>
      <c r="V266" s="42"/>
      <c r="W266" s="45"/>
    </row>
    <row r="267" spans="1:23" x14ac:dyDescent="0.25">
      <c r="D267" s="42"/>
      <c r="E267" s="42"/>
      <c r="F267" s="42"/>
      <c r="G267" s="42"/>
      <c r="H267" s="42"/>
      <c r="I267" s="42"/>
      <c r="J267" s="42"/>
      <c r="K267" s="42"/>
      <c r="L267" s="42"/>
      <c r="M267" s="42"/>
      <c r="N267" s="42"/>
      <c r="S267" s="42"/>
      <c r="T267" s="42"/>
      <c r="U267" s="42"/>
      <c r="V267" s="42"/>
      <c r="W267" s="42"/>
    </row>
    <row r="268" spans="1:23" x14ac:dyDescent="0.25">
      <c r="A268" s="85"/>
      <c r="B268" s="3"/>
      <c r="C268" s="3"/>
      <c r="D268" s="3"/>
      <c r="E268" s="2" t="s">
        <v>42</v>
      </c>
      <c r="F268" s="3"/>
      <c r="G268" s="3"/>
      <c r="H268" s="3"/>
      <c r="I268" s="86">
        <f>'NTS GCD11 Option Two'!$B$129</f>
        <v>6.756506378150271</v>
      </c>
      <c r="J268" s="3"/>
      <c r="K268" s="3"/>
      <c r="L268" s="3"/>
      <c r="M268" s="3"/>
      <c r="N268" s="3"/>
      <c r="O268" s="3"/>
      <c r="P268" s="3"/>
      <c r="Q268" s="3"/>
      <c r="R268" s="3"/>
      <c r="S268" s="3"/>
      <c r="T268" s="3"/>
      <c r="U268" s="3"/>
      <c r="V268" s="3"/>
      <c r="W268" s="54"/>
    </row>
    <row r="269" spans="1:23" x14ac:dyDescent="0.25">
      <c r="A269" s="145" t="s">
        <v>32</v>
      </c>
      <c r="B269" s="87" t="s">
        <v>33</v>
      </c>
      <c r="C269" s="3"/>
      <c r="D269" s="3"/>
      <c r="E269" s="3"/>
      <c r="F269" s="3"/>
      <c r="G269" s="3"/>
      <c r="H269" s="3"/>
      <c r="I269" s="3"/>
      <c r="J269" s="3"/>
      <c r="K269" s="3"/>
      <c r="L269" s="3"/>
      <c r="M269" s="3"/>
      <c r="N269" s="3"/>
      <c r="O269" s="3"/>
      <c r="P269" s="3"/>
      <c r="Q269" s="3"/>
      <c r="R269" s="3"/>
      <c r="S269" s="3"/>
      <c r="T269" s="3"/>
      <c r="U269" s="3"/>
      <c r="V269" s="3"/>
      <c r="W269" s="55"/>
    </row>
    <row r="270" spans="1:23" x14ac:dyDescent="0.25">
      <c r="A270" s="112" t="s">
        <v>88</v>
      </c>
      <c r="B270" s="144"/>
      <c r="C270" s="88"/>
      <c r="D270" s="3"/>
      <c r="E270" s="3"/>
      <c r="F270" s="3"/>
      <c r="G270" s="3"/>
      <c r="H270" s="3"/>
      <c r="I270" s="3"/>
      <c r="J270" s="3"/>
      <c r="K270" s="3"/>
      <c r="L270" s="3"/>
      <c r="M270" s="3"/>
      <c r="N270" s="3"/>
      <c r="O270" s="3"/>
      <c r="P270" s="3"/>
      <c r="Q270" s="3"/>
      <c r="R270" s="3"/>
      <c r="S270" s="3"/>
      <c r="T270" s="3"/>
      <c r="U270" s="3"/>
      <c r="V270" s="3"/>
      <c r="W270" s="55"/>
    </row>
    <row r="271" spans="1:23" ht="15" x14ac:dyDescent="0.2">
      <c r="A271" s="102" t="s">
        <v>57</v>
      </c>
      <c r="B271" s="100">
        <f>(J215-B215)/50</f>
        <v>2.7257487332236851E-4</v>
      </c>
      <c r="C271" s="101">
        <f>LN(B271)</f>
        <v>-8.2075972171160672</v>
      </c>
      <c r="D271" s="3"/>
      <c r="E271" s="3"/>
      <c r="F271" s="3"/>
      <c r="G271" s="3"/>
      <c r="H271" s="3"/>
      <c r="I271" s="3"/>
      <c r="J271" s="3"/>
      <c r="K271" s="3"/>
      <c r="L271" s="3"/>
      <c r="M271" s="3"/>
      <c r="N271" s="3"/>
      <c r="O271" s="3"/>
      <c r="P271" s="3"/>
      <c r="Q271" s="3"/>
      <c r="R271" s="3"/>
      <c r="S271" s="3"/>
      <c r="T271" s="3"/>
      <c r="U271" s="3"/>
      <c r="V271" s="3"/>
      <c r="W271" s="55"/>
    </row>
    <row r="272" spans="1:23" ht="15" x14ac:dyDescent="0.2">
      <c r="A272" s="102" t="s">
        <v>58</v>
      </c>
      <c r="B272" s="100">
        <f t="shared" ref="B272:B289" si="74">(J216-B216)/50</f>
        <v>3.2708984798684212E-4</v>
      </c>
      <c r="C272" s="101">
        <f>LN(B272)</f>
        <v>-8.025275660322114</v>
      </c>
      <c r="D272" s="3"/>
      <c r="E272" s="3"/>
      <c r="F272" s="3"/>
      <c r="G272" s="3"/>
      <c r="H272" s="3"/>
      <c r="I272" s="3"/>
      <c r="J272" s="3"/>
      <c r="K272" s="3"/>
      <c r="L272" s="3"/>
      <c r="M272" s="3"/>
      <c r="N272" s="3"/>
      <c r="O272" s="3"/>
      <c r="P272" s="3"/>
      <c r="Q272" s="3"/>
      <c r="R272" s="3"/>
      <c r="S272" s="3"/>
      <c r="T272" s="3"/>
      <c r="U272" s="3"/>
      <c r="V272" s="3"/>
      <c r="W272" s="55"/>
    </row>
    <row r="273" spans="1:23" ht="15" x14ac:dyDescent="0.2">
      <c r="A273" s="102" t="s">
        <v>59</v>
      </c>
      <c r="B273" s="100">
        <f t="shared" si="74"/>
        <v>4.0886230998355279E-4</v>
      </c>
      <c r="C273" s="101">
        <f>LN(B273)</f>
        <v>-7.8021321090079034</v>
      </c>
      <c r="D273" s="3"/>
      <c r="E273" s="3"/>
      <c r="F273" s="3"/>
      <c r="G273" s="3"/>
      <c r="H273" s="3"/>
      <c r="I273" s="3"/>
      <c r="J273" s="3"/>
      <c r="K273" s="3"/>
      <c r="L273" s="3"/>
      <c r="M273" s="3"/>
      <c r="N273" s="3"/>
      <c r="O273" s="3"/>
      <c r="P273" s="3"/>
      <c r="Q273" s="3"/>
      <c r="R273" s="3"/>
      <c r="S273" s="3"/>
      <c r="T273" s="3"/>
      <c r="U273" s="3"/>
      <c r="V273" s="3"/>
      <c r="W273" s="55"/>
    </row>
    <row r="274" spans="1:23" ht="15" x14ac:dyDescent="0.2">
      <c r="A274" s="102" t="s">
        <v>60</v>
      </c>
      <c r="B274" s="100">
        <f t="shared" si="74"/>
        <v>5.4514974664473701E-4</v>
      </c>
      <c r="C274" s="101">
        <f>LN(B274)</f>
        <v>-7.5144500365561226</v>
      </c>
      <c r="D274" s="3"/>
      <c r="E274" s="3"/>
      <c r="F274" s="3"/>
      <c r="G274" s="3"/>
      <c r="H274" s="3"/>
      <c r="I274" s="3"/>
      <c r="J274" s="3"/>
      <c r="K274" s="3"/>
      <c r="L274" s="3"/>
      <c r="M274" s="3"/>
      <c r="N274" s="3"/>
      <c r="O274" s="3"/>
      <c r="P274" s="3"/>
      <c r="Q274" s="3"/>
      <c r="R274" s="3"/>
      <c r="S274" s="3"/>
      <c r="T274" s="3"/>
      <c r="U274" s="3"/>
      <c r="V274" s="3"/>
      <c r="W274" s="55"/>
    </row>
    <row r="275" spans="1:23" ht="15" x14ac:dyDescent="0.2">
      <c r="A275" s="102" t="s">
        <v>61</v>
      </c>
      <c r="B275" s="100">
        <f t="shared" si="74"/>
        <v>3.2851861468136898E-4</v>
      </c>
      <c r="C275" s="101">
        <f>LN(B275)</f>
        <v>-8.02091705594834</v>
      </c>
      <c r="D275" s="3"/>
      <c r="E275" s="3"/>
      <c r="F275" s="3"/>
      <c r="G275" s="3"/>
      <c r="H275" s="3"/>
      <c r="I275" s="3"/>
      <c r="J275" s="3"/>
      <c r="K275" s="3"/>
      <c r="L275" s="3"/>
      <c r="M275" s="3"/>
      <c r="N275" s="3"/>
      <c r="O275" s="3"/>
      <c r="P275" s="3"/>
      <c r="Q275" s="3"/>
      <c r="R275" s="3"/>
      <c r="S275" s="3"/>
      <c r="T275" s="3"/>
      <c r="U275" s="3"/>
      <c r="V275" s="3"/>
      <c r="W275" s="55"/>
    </row>
    <row r="276" spans="1:23" x14ac:dyDescent="0.25">
      <c r="A276" s="50" t="s">
        <v>44</v>
      </c>
      <c r="B276" s="90">
        <f t="shared" si="74"/>
        <v>4.3802481957515879E-4</v>
      </c>
      <c r="C276" s="88">
        <f t="shared" ref="C276:C289" si="75">LN(B276)</f>
        <v>-7.7332349834965584</v>
      </c>
      <c r="D276" s="3"/>
      <c r="E276" s="3"/>
      <c r="F276" s="3"/>
      <c r="G276" s="3"/>
      <c r="H276" s="3"/>
      <c r="I276" s="3"/>
      <c r="J276" s="3"/>
      <c r="K276" s="3"/>
      <c r="L276" s="3"/>
      <c r="M276" s="3"/>
      <c r="N276" s="3"/>
      <c r="O276" s="3"/>
      <c r="P276" s="3"/>
      <c r="Q276" s="3"/>
      <c r="R276" s="3"/>
      <c r="S276" s="3"/>
      <c r="T276" s="3"/>
      <c r="U276" s="3"/>
      <c r="V276" s="3"/>
      <c r="W276" s="52"/>
    </row>
    <row r="277" spans="1:23" ht="15" x14ac:dyDescent="0.2">
      <c r="A277" s="50" t="s">
        <v>45</v>
      </c>
      <c r="B277" s="90">
        <f t="shared" si="74"/>
        <v>5.4753102446894843E-4</v>
      </c>
      <c r="C277" s="88">
        <f t="shared" si="75"/>
        <v>-7.5100914321823486</v>
      </c>
      <c r="D277" s="3"/>
      <c r="E277" s="3"/>
      <c r="F277" s="3"/>
      <c r="G277" s="3"/>
      <c r="H277" s="3"/>
      <c r="I277" s="3"/>
      <c r="J277" s="3"/>
      <c r="K277" s="3"/>
      <c r="L277" s="3"/>
      <c r="M277" s="3"/>
      <c r="N277" s="3"/>
      <c r="O277" s="3"/>
      <c r="P277" s="3"/>
      <c r="Q277" s="3"/>
      <c r="R277" s="3"/>
      <c r="S277" s="3"/>
      <c r="T277" s="3"/>
      <c r="U277" s="3"/>
      <c r="V277" s="3"/>
      <c r="W277" s="55"/>
    </row>
    <row r="278" spans="1:23" ht="15" x14ac:dyDescent="0.2">
      <c r="A278" s="50" t="s">
        <v>46</v>
      </c>
      <c r="B278" s="90">
        <f t="shared" si="74"/>
        <v>6.5703722936273818E-4</v>
      </c>
      <c r="C278" s="88">
        <f t="shared" si="75"/>
        <v>-7.3277698753883937</v>
      </c>
      <c r="D278" s="3"/>
      <c r="E278" s="3"/>
      <c r="F278" s="3"/>
      <c r="G278" s="3"/>
      <c r="H278" s="3"/>
      <c r="I278" s="3"/>
      <c r="J278" s="3"/>
      <c r="K278" s="3"/>
      <c r="L278" s="3"/>
      <c r="M278" s="3"/>
      <c r="N278" s="3"/>
      <c r="O278" s="3"/>
      <c r="P278" s="3"/>
      <c r="Q278" s="3"/>
      <c r="R278" s="3"/>
      <c r="S278" s="3"/>
      <c r="T278" s="3"/>
      <c r="U278" s="3"/>
      <c r="V278" s="3"/>
      <c r="W278" s="55"/>
    </row>
    <row r="279" spans="1:23" ht="15" x14ac:dyDescent="0.2">
      <c r="A279" s="50" t="s">
        <v>47</v>
      </c>
      <c r="B279" s="90">
        <f t="shared" si="74"/>
        <v>8.1780176291987663E-4</v>
      </c>
      <c r="C279" s="88">
        <f t="shared" si="75"/>
        <v>-7.1088905943502194</v>
      </c>
      <c r="D279" s="3"/>
      <c r="E279" s="3"/>
      <c r="F279" s="3"/>
      <c r="G279" s="3"/>
      <c r="H279" s="3"/>
      <c r="I279" s="3"/>
      <c r="J279" s="3"/>
      <c r="K279" s="3"/>
      <c r="L279" s="3"/>
      <c r="M279" s="3"/>
      <c r="N279" s="3"/>
      <c r="O279" s="3"/>
      <c r="P279" s="3"/>
      <c r="Q279" s="3"/>
      <c r="R279" s="3"/>
      <c r="S279" s="3"/>
      <c r="T279" s="3"/>
      <c r="U279" s="3"/>
      <c r="V279" s="3"/>
      <c r="W279" s="55"/>
    </row>
    <row r="280" spans="1:23" x14ac:dyDescent="0.25">
      <c r="A280" s="50" t="s">
        <v>8</v>
      </c>
      <c r="B280" s="90">
        <f t="shared" si="74"/>
        <v>1.144922468087827E-3</v>
      </c>
      <c r="C280" s="88">
        <f t="shared" si="75"/>
        <v>-6.7724183577290074</v>
      </c>
      <c r="D280" s="3"/>
      <c r="E280" s="3"/>
      <c r="F280" s="3"/>
      <c r="G280" s="3"/>
      <c r="H280" s="3"/>
      <c r="I280" s="3"/>
      <c r="J280" s="3"/>
      <c r="K280" s="3"/>
      <c r="L280" s="3"/>
      <c r="M280" s="3"/>
      <c r="N280" s="3"/>
      <c r="O280" s="3"/>
      <c r="P280" s="3"/>
      <c r="Q280" s="3"/>
      <c r="R280" s="3"/>
      <c r="S280" s="3"/>
      <c r="T280" s="3"/>
      <c r="U280" s="3"/>
      <c r="V280" s="3"/>
      <c r="W280" s="52"/>
    </row>
    <row r="281" spans="1:23" ht="15" x14ac:dyDescent="0.2">
      <c r="A281" s="50" t="s">
        <v>9</v>
      </c>
      <c r="B281" s="90">
        <f t="shared" si="74"/>
        <v>1.4311530851097837E-3</v>
      </c>
      <c r="C281" s="88">
        <f t="shared" si="75"/>
        <v>-6.5492748064147976</v>
      </c>
      <c r="D281" s="3"/>
      <c r="E281" s="3"/>
      <c r="F281" s="3"/>
      <c r="G281" s="3"/>
      <c r="H281" s="3"/>
      <c r="I281" s="3"/>
      <c r="J281" s="3"/>
      <c r="K281" s="3"/>
      <c r="L281" s="3"/>
      <c r="M281" s="3"/>
      <c r="N281" s="3"/>
      <c r="O281" s="3"/>
      <c r="P281" s="3"/>
      <c r="Q281" s="3"/>
      <c r="R281" s="3"/>
      <c r="S281" s="3"/>
      <c r="T281" s="3"/>
      <c r="U281" s="3"/>
      <c r="V281" s="3"/>
      <c r="W281" s="55"/>
    </row>
    <row r="282" spans="1:23" ht="15" x14ac:dyDescent="0.2">
      <c r="A282" s="50" t="s">
        <v>10</v>
      </c>
      <c r="B282" s="90">
        <f t="shared" si="74"/>
        <v>1.3527261781230251E-3</v>
      </c>
      <c r="C282" s="88">
        <f t="shared" si="75"/>
        <v>-6.6056333315591367</v>
      </c>
      <c r="D282" s="3"/>
      <c r="E282" s="3"/>
      <c r="F282" s="3"/>
      <c r="G282" s="3"/>
      <c r="H282" s="3"/>
      <c r="I282" s="3"/>
      <c r="J282" s="3"/>
      <c r="K282" s="3"/>
      <c r="L282" s="3"/>
      <c r="M282" s="3"/>
      <c r="N282" s="3"/>
      <c r="O282" s="3"/>
      <c r="P282" s="3"/>
      <c r="Q282" s="3"/>
      <c r="R282" s="3"/>
      <c r="S282" s="3"/>
      <c r="T282" s="3"/>
      <c r="U282" s="3"/>
      <c r="V282" s="3"/>
      <c r="W282" s="55"/>
    </row>
    <row r="283" spans="1:23" ht="15" x14ac:dyDescent="0.2">
      <c r="A283" s="50" t="s">
        <v>11</v>
      </c>
      <c r="B283" s="90">
        <f t="shared" si="74"/>
        <v>2.0290892671845375E-3</v>
      </c>
      <c r="C283" s="88">
        <f t="shared" si="75"/>
        <v>-6.2001682234509721</v>
      </c>
      <c r="D283" s="3"/>
      <c r="E283" s="3"/>
      <c r="F283" s="3"/>
      <c r="G283" s="3"/>
      <c r="H283" s="3"/>
      <c r="I283" s="3"/>
      <c r="J283" s="3"/>
      <c r="K283" s="3"/>
      <c r="L283" s="3"/>
      <c r="M283" s="3"/>
      <c r="N283" s="3"/>
      <c r="O283" s="3"/>
      <c r="P283" s="3"/>
      <c r="Q283" s="3"/>
      <c r="R283" s="3"/>
      <c r="S283" s="3"/>
      <c r="T283" s="3"/>
      <c r="U283" s="3"/>
      <c r="V283" s="3"/>
      <c r="W283" s="55"/>
    </row>
    <row r="284" spans="1:23" ht="15" x14ac:dyDescent="0.2">
      <c r="A284" s="50" t="s">
        <v>12</v>
      </c>
      <c r="B284" s="90">
        <f t="shared" si="74"/>
        <v>3.5385378851644318E-3</v>
      </c>
      <c r="C284" s="88">
        <f t="shared" si="75"/>
        <v>-5.6440416639452202</v>
      </c>
      <c r="D284" s="3"/>
      <c r="E284" s="3"/>
      <c r="F284" s="3"/>
      <c r="G284" s="3"/>
      <c r="H284" s="3"/>
      <c r="I284" s="3"/>
      <c r="J284" s="3"/>
      <c r="K284" s="3"/>
      <c r="L284" s="3"/>
      <c r="M284" s="3"/>
      <c r="N284" s="3"/>
      <c r="O284" s="3"/>
      <c r="P284" s="3"/>
      <c r="Q284" s="3"/>
      <c r="R284" s="3"/>
      <c r="S284" s="3"/>
      <c r="T284" s="3"/>
      <c r="U284" s="3"/>
      <c r="V284" s="3"/>
      <c r="W284" s="53"/>
    </row>
    <row r="285" spans="1:23" ht="15" x14ac:dyDescent="0.2">
      <c r="A285" s="50" t="s">
        <v>13</v>
      </c>
      <c r="B285" s="90">
        <f t="shared" si="74"/>
        <v>7.0770757703288618E-3</v>
      </c>
      <c r="C285" s="88">
        <f t="shared" si="75"/>
        <v>-4.9508944833852757</v>
      </c>
      <c r="D285" s="3"/>
      <c r="E285" s="3"/>
      <c r="F285" s="3"/>
      <c r="G285" s="3"/>
      <c r="H285" s="3"/>
      <c r="I285" s="3"/>
      <c r="J285" s="3"/>
      <c r="K285" s="3"/>
      <c r="L285" s="3"/>
      <c r="M285" s="3"/>
      <c r="N285" s="3"/>
      <c r="O285" s="3"/>
      <c r="P285" s="3"/>
      <c r="Q285" s="3"/>
      <c r="R285" s="3"/>
      <c r="S285" s="3"/>
      <c r="T285" s="3"/>
      <c r="U285" s="3"/>
      <c r="V285" s="3"/>
      <c r="W285" s="53"/>
    </row>
    <row r="286" spans="1:23" ht="15" x14ac:dyDescent="0.2">
      <c r="A286" s="50" t="s">
        <v>14</v>
      </c>
      <c r="B286" s="90">
        <f t="shared" si="74"/>
        <v>8.308785420630415E-3</v>
      </c>
      <c r="C286" s="88">
        <f t="shared" si="75"/>
        <v>-4.7904418395659167</v>
      </c>
      <c r="D286" s="3"/>
      <c r="E286" s="3"/>
      <c r="F286" s="3"/>
      <c r="G286" s="3"/>
      <c r="H286" s="3"/>
      <c r="I286" s="3"/>
      <c r="J286" s="3"/>
      <c r="K286" s="3"/>
      <c r="L286" s="3"/>
      <c r="M286" s="3"/>
      <c r="N286" s="3"/>
      <c r="O286" s="3"/>
      <c r="P286" s="3"/>
      <c r="Q286" s="3"/>
      <c r="R286" s="3"/>
      <c r="S286" s="3"/>
      <c r="T286" s="3"/>
      <c r="U286" s="3"/>
      <c r="V286" s="3"/>
      <c r="W286" s="56"/>
    </row>
    <row r="287" spans="1:23" ht="15" x14ac:dyDescent="0.2">
      <c r="A287" s="50" t="s">
        <v>15</v>
      </c>
      <c r="B287" s="90">
        <f t="shared" si="74"/>
        <v>1.1078380560840553E-2</v>
      </c>
      <c r="C287" s="88">
        <f t="shared" si="75"/>
        <v>-4.5027597671141359</v>
      </c>
      <c r="D287" s="3"/>
      <c r="E287" s="3"/>
      <c r="F287" s="3"/>
      <c r="G287" s="3"/>
      <c r="H287" s="3"/>
      <c r="I287" s="3"/>
      <c r="J287" s="3"/>
      <c r="K287" s="3"/>
      <c r="L287" s="3"/>
      <c r="M287" s="3"/>
      <c r="N287" s="3"/>
      <c r="O287" s="3"/>
      <c r="P287" s="3"/>
      <c r="Q287" s="3"/>
      <c r="R287" s="3"/>
      <c r="S287" s="3"/>
      <c r="T287" s="3"/>
      <c r="U287" s="3"/>
      <c r="V287" s="3"/>
      <c r="W287" s="56"/>
    </row>
    <row r="288" spans="1:23" ht="15" x14ac:dyDescent="0.2">
      <c r="A288" s="50" t="s">
        <v>16</v>
      </c>
      <c r="B288" s="90">
        <f t="shared" si="74"/>
        <v>1.6617570841260827E-2</v>
      </c>
      <c r="C288" s="88">
        <f t="shared" si="75"/>
        <v>-4.0972946590059722</v>
      </c>
      <c r="D288" s="3"/>
      <c r="E288" s="3"/>
      <c r="F288" s="3"/>
      <c r="G288" s="3"/>
      <c r="H288" s="3"/>
      <c r="I288" s="3"/>
      <c r="J288" s="3"/>
      <c r="K288" s="3"/>
      <c r="L288" s="3"/>
      <c r="M288" s="3"/>
      <c r="N288" s="3"/>
      <c r="O288" s="3"/>
      <c r="P288" s="3"/>
      <c r="Q288" s="3"/>
      <c r="R288" s="3"/>
      <c r="S288" s="3"/>
      <c r="T288" s="3"/>
      <c r="U288" s="3"/>
      <c r="V288" s="3"/>
      <c r="W288" s="55"/>
    </row>
    <row r="289" spans="1:23" ht="15" x14ac:dyDescent="0.2">
      <c r="A289" s="50" t="s">
        <v>17</v>
      </c>
      <c r="B289" s="90">
        <f t="shared" si="74"/>
        <v>2.7859548759715011E-2</v>
      </c>
      <c r="C289" s="88">
        <f t="shared" si="75"/>
        <v>-3.5805795074696496</v>
      </c>
      <c r="D289" s="3"/>
      <c r="E289" s="3"/>
      <c r="F289" s="3"/>
      <c r="G289" s="3"/>
      <c r="H289" s="3"/>
      <c r="I289" s="3"/>
      <c r="J289" s="3"/>
      <c r="K289" s="3"/>
      <c r="L289" s="3"/>
      <c r="M289" s="3"/>
      <c r="N289" s="3"/>
      <c r="O289" s="3"/>
      <c r="P289" s="3"/>
      <c r="Q289" s="3"/>
      <c r="R289" s="3"/>
      <c r="S289" s="3"/>
      <c r="T289" s="3"/>
      <c r="U289" s="3"/>
      <c r="V289" s="3"/>
      <c r="W289" s="57"/>
    </row>
    <row r="290" spans="1:23" x14ac:dyDescent="0.25">
      <c r="A290" s="91"/>
      <c r="B290" s="92"/>
      <c r="C290" s="4"/>
      <c r="D290" s="3"/>
      <c r="E290" s="3"/>
      <c r="F290" s="3"/>
      <c r="G290" s="3"/>
      <c r="H290" s="3"/>
      <c r="I290" s="3"/>
      <c r="J290" s="3"/>
      <c r="K290" s="3"/>
      <c r="L290" s="3"/>
      <c r="M290" s="3"/>
      <c r="N290" s="3"/>
      <c r="O290" s="3"/>
      <c r="P290" s="3"/>
      <c r="Q290" s="3"/>
      <c r="R290" s="3"/>
      <c r="S290" s="3"/>
      <c r="T290" s="3"/>
      <c r="U290" s="3"/>
      <c r="V290" s="3"/>
      <c r="W290" s="22"/>
    </row>
    <row r="291" spans="1:23" ht="16.5" thickBot="1" x14ac:dyDescent="0.3">
      <c r="A291" s="91"/>
      <c r="B291" s="92"/>
      <c r="C291" s="4"/>
      <c r="D291" s="3"/>
      <c r="E291" s="3"/>
      <c r="F291" s="3"/>
      <c r="G291" s="3"/>
      <c r="H291" s="3"/>
      <c r="I291" s="3"/>
      <c r="J291" s="3"/>
      <c r="K291" s="3"/>
      <c r="L291" s="3"/>
      <c r="M291" s="3"/>
      <c r="N291" s="3"/>
      <c r="O291" s="3"/>
      <c r="P291" s="3"/>
      <c r="Q291" s="3"/>
      <c r="R291" s="3"/>
      <c r="S291" s="3"/>
      <c r="T291" s="3"/>
      <c r="U291" s="3"/>
      <c r="V291" s="3"/>
      <c r="W291" s="22"/>
    </row>
    <row r="292" spans="1:23" ht="16.5" thickBot="1" x14ac:dyDescent="0.3">
      <c r="A292" s="91"/>
      <c r="B292" s="92"/>
      <c r="C292" s="4"/>
      <c r="D292" s="3"/>
      <c r="E292" s="3"/>
      <c r="F292" s="3"/>
      <c r="G292" s="3"/>
      <c r="H292" s="3"/>
      <c r="I292" s="3"/>
      <c r="J292" s="93" t="s">
        <v>128</v>
      </c>
      <c r="K292" s="3"/>
      <c r="L292" s="96">
        <v>-0.72399999999999998</v>
      </c>
      <c r="M292" s="97"/>
      <c r="O292" s="3"/>
      <c r="P292" s="3"/>
      <c r="Q292" s="3"/>
      <c r="R292" s="3"/>
      <c r="S292" s="3"/>
      <c r="T292" s="3"/>
      <c r="U292" s="3"/>
      <c r="V292" s="3"/>
      <c r="W292" s="22"/>
    </row>
    <row r="293" spans="1:23" ht="16.5" thickBot="1" x14ac:dyDescent="0.3">
      <c r="A293" s="91"/>
      <c r="B293" s="92"/>
      <c r="C293" s="4"/>
      <c r="D293" s="3"/>
      <c r="E293" s="3"/>
      <c r="F293" s="3"/>
      <c r="G293" s="3"/>
      <c r="H293" s="3"/>
      <c r="I293" s="3"/>
      <c r="J293" s="93" t="s">
        <v>129</v>
      </c>
      <c r="K293" s="3"/>
      <c r="L293" s="3"/>
      <c r="M293" s="3"/>
      <c r="N293" s="3"/>
      <c r="O293" s="3"/>
      <c r="P293" s="3"/>
      <c r="Q293" s="3"/>
      <c r="R293" s="3"/>
      <c r="S293" s="3"/>
      <c r="T293" s="3"/>
      <c r="U293" s="3"/>
      <c r="V293" s="3"/>
      <c r="W293" s="22"/>
    </row>
    <row r="294" spans="1:23" ht="16.5" thickBot="1" x14ac:dyDescent="0.3">
      <c r="A294" s="91"/>
      <c r="B294" s="92"/>
      <c r="C294" s="4"/>
      <c r="D294" s="3"/>
      <c r="E294" s="3"/>
      <c r="F294" s="3"/>
      <c r="G294" s="3"/>
      <c r="H294" s="3"/>
      <c r="I294" s="3"/>
      <c r="J294" s="85" t="s">
        <v>130</v>
      </c>
      <c r="K294" s="3"/>
      <c r="L294" s="194">
        <f>EXP(6.62225)</f>
        <v>751.6343733034364</v>
      </c>
      <c r="M294" s="97" t="s">
        <v>43</v>
      </c>
      <c r="O294" s="3"/>
      <c r="P294" s="3"/>
      <c r="Q294" s="3"/>
      <c r="R294" s="3"/>
      <c r="S294" s="3"/>
      <c r="T294" s="3"/>
      <c r="U294" s="3"/>
      <c r="V294" s="3"/>
      <c r="W294" s="8"/>
    </row>
    <row r="295" spans="1:23" x14ac:dyDescent="0.25">
      <c r="A295" s="91"/>
      <c r="B295" s="92"/>
      <c r="C295" s="4"/>
      <c r="D295" s="3"/>
      <c r="E295" s="3"/>
      <c r="F295" s="3"/>
      <c r="G295" s="3"/>
      <c r="H295" s="3"/>
      <c r="I295" s="3"/>
      <c r="J295" s="3"/>
      <c r="K295" s="3"/>
      <c r="L295" s="3"/>
      <c r="M295" s="3"/>
      <c r="N295" s="3"/>
      <c r="O295" s="3"/>
      <c r="P295" s="3"/>
      <c r="Q295" s="3"/>
      <c r="R295" s="3"/>
      <c r="S295" s="3"/>
      <c r="T295" s="3"/>
      <c r="U295" s="3"/>
      <c r="V295" s="3"/>
      <c r="W295" s="8"/>
    </row>
    <row r="296" spans="1:23" x14ac:dyDescent="0.25">
      <c r="A296" s="91"/>
      <c r="B296" s="92"/>
      <c r="C296" s="4"/>
      <c r="D296" s="3"/>
      <c r="E296" s="3"/>
      <c r="F296" s="3"/>
      <c r="G296" s="3"/>
      <c r="H296" s="3"/>
      <c r="I296" s="3"/>
      <c r="J296" s="3"/>
      <c r="K296" s="3"/>
      <c r="L296" s="3"/>
      <c r="M296" s="3"/>
      <c r="N296" s="3"/>
      <c r="O296" s="3"/>
      <c r="P296" s="3"/>
      <c r="Q296" s="3"/>
      <c r="R296" s="3"/>
      <c r="S296" s="3"/>
      <c r="T296" s="3"/>
      <c r="U296" s="3"/>
      <c r="V296" s="3"/>
      <c r="W296" s="8"/>
    </row>
    <row r="297" spans="1:23" x14ac:dyDescent="0.25">
      <c r="A297" s="91"/>
      <c r="B297" s="92"/>
      <c r="C297" s="4"/>
      <c r="D297" s="3"/>
      <c r="E297" s="3"/>
      <c r="F297" s="3"/>
      <c r="G297" s="3"/>
      <c r="H297" s="3"/>
      <c r="I297" s="3"/>
      <c r="J297" s="3"/>
      <c r="K297" s="3"/>
      <c r="L297" s="3"/>
      <c r="M297" s="3"/>
      <c r="N297" s="3"/>
      <c r="O297" s="3"/>
      <c r="P297" s="3"/>
      <c r="Q297" s="3"/>
      <c r="R297" s="3"/>
      <c r="S297" s="3"/>
      <c r="T297" s="3"/>
      <c r="U297" s="3"/>
      <c r="V297" s="3"/>
      <c r="W297" s="8"/>
    </row>
    <row r="298" spans="1:23" x14ac:dyDescent="0.25">
      <c r="A298" s="91"/>
      <c r="B298" s="92"/>
      <c r="C298" s="4"/>
      <c r="D298" s="3"/>
      <c r="E298" s="3"/>
      <c r="F298" s="3"/>
      <c r="G298" s="3"/>
      <c r="H298" s="3"/>
      <c r="I298" s="3"/>
      <c r="J298" s="3"/>
      <c r="K298" s="3"/>
      <c r="L298" s="3"/>
      <c r="M298" s="3"/>
      <c r="N298" s="3"/>
      <c r="O298" s="3"/>
      <c r="P298" s="3"/>
      <c r="Q298" s="3"/>
      <c r="R298" s="3"/>
      <c r="S298" s="3"/>
      <c r="T298" s="3"/>
      <c r="U298" s="3"/>
      <c r="V298" s="3"/>
      <c r="W298" s="8"/>
    </row>
    <row r="299" spans="1:23" x14ac:dyDescent="0.25">
      <c r="A299" s="91"/>
      <c r="B299" s="92"/>
      <c r="C299" s="4"/>
      <c r="D299" s="3"/>
      <c r="E299" s="3"/>
      <c r="F299" s="3"/>
      <c r="G299" s="3"/>
      <c r="H299" s="3"/>
      <c r="I299" s="3"/>
      <c r="J299" s="3"/>
      <c r="K299" s="3"/>
      <c r="L299" s="3"/>
      <c r="M299" s="3"/>
      <c r="N299" s="3"/>
      <c r="O299" s="3"/>
      <c r="P299" s="3"/>
      <c r="Q299" s="3"/>
      <c r="R299" s="3"/>
      <c r="S299" s="3"/>
      <c r="T299" s="3"/>
      <c r="U299" s="3"/>
      <c r="V299" s="3"/>
      <c r="W299" s="8"/>
    </row>
    <row r="300" spans="1:23" x14ac:dyDescent="0.25">
      <c r="A300" s="91"/>
      <c r="B300" s="92"/>
      <c r="C300" s="4"/>
      <c r="D300" s="3"/>
      <c r="E300" s="3"/>
      <c r="F300" s="3"/>
      <c r="G300" s="3"/>
      <c r="H300" s="3"/>
      <c r="I300" s="3"/>
      <c r="J300" s="3"/>
      <c r="K300" s="3"/>
      <c r="L300" s="3"/>
      <c r="M300" s="3"/>
      <c r="N300" s="3"/>
      <c r="O300" s="3"/>
      <c r="P300" s="3"/>
      <c r="Q300" s="3"/>
      <c r="R300" s="3"/>
      <c r="S300" s="3"/>
      <c r="T300" s="3"/>
      <c r="U300" s="3"/>
      <c r="V300" s="3"/>
      <c r="W300" s="8"/>
    </row>
    <row r="301" spans="1:23" x14ac:dyDescent="0.25">
      <c r="A301" s="16" t="s">
        <v>74</v>
      </c>
      <c r="B301" s="92"/>
      <c r="C301" s="4"/>
      <c r="D301" s="3"/>
      <c r="E301" s="3"/>
      <c r="F301" s="3"/>
      <c r="G301" s="3"/>
      <c r="H301" s="3"/>
      <c r="I301" s="3"/>
      <c r="J301" s="3"/>
      <c r="K301" s="3"/>
      <c r="L301" s="3"/>
      <c r="M301" s="3"/>
      <c r="N301" s="3"/>
      <c r="O301" s="3"/>
      <c r="P301" s="3"/>
      <c r="Q301" s="3"/>
      <c r="R301" s="3"/>
      <c r="S301" s="3"/>
      <c r="T301" s="3"/>
      <c r="U301" s="3"/>
      <c r="V301" s="3"/>
      <c r="W301" s="8"/>
    </row>
    <row r="302" spans="1:23" x14ac:dyDescent="0.25">
      <c r="A302" s="91"/>
      <c r="B302" s="92"/>
      <c r="J302" s="3"/>
      <c r="K302" s="3"/>
      <c r="L302" s="3"/>
      <c r="M302" s="3"/>
      <c r="N302" s="3"/>
      <c r="O302" s="3"/>
      <c r="P302" s="3"/>
      <c r="Q302" s="3"/>
      <c r="R302" s="3"/>
      <c r="S302" s="3"/>
      <c r="T302" s="3"/>
      <c r="U302" s="3"/>
      <c r="V302" s="3"/>
      <c r="W302" s="8"/>
    </row>
    <row r="303" spans="1:23" ht="16.5" thickBot="1" x14ac:dyDescent="0.3">
      <c r="A303" s="91"/>
      <c r="B303" s="92"/>
      <c r="J303" s="3"/>
      <c r="K303" s="3"/>
      <c r="L303" s="3"/>
      <c r="M303" s="3"/>
      <c r="N303" s="3"/>
      <c r="O303" s="3"/>
      <c r="P303" s="3"/>
      <c r="Q303" s="3"/>
      <c r="R303" s="3"/>
      <c r="S303" s="3"/>
      <c r="T303" s="3"/>
      <c r="U303" s="3"/>
      <c r="V303" s="3"/>
      <c r="W303" s="8"/>
    </row>
    <row r="304" spans="1:23" x14ac:dyDescent="0.25">
      <c r="A304" s="91"/>
      <c r="B304" s="92"/>
      <c r="E304" s="122"/>
      <c r="F304" s="123"/>
      <c r="G304" s="123"/>
      <c r="H304" s="123"/>
      <c r="I304" s="123"/>
      <c r="J304" s="123"/>
      <c r="K304" s="123"/>
      <c r="L304" s="124"/>
      <c r="M304" s="3"/>
      <c r="N304" s="3"/>
      <c r="O304" s="3"/>
      <c r="P304" s="3"/>
      <c r="S304" s="3"/>
      <c r="T304" s="3"/>
      <c r="U304" s="3"/>
      <c r="V304" s="3"/>
      <c r="W304" s="8"/>
    </row>
    <row r="305" spans="2:23" x14ac:dyDescent="0.25">
      <c r="E305" s="125"/>
      <c r="F305" s="55"/>
      <c r="G305" s="55"/>
      <c r="H305" s="55"/>
      <c r="I305" s="55"/>
      <c r="J305" s="55"/>
      <c r="K305" s="55"/>
      <c r="L305" s="126"/>
      <c r="M305" s="3"/>
      <c r="S305" s="3"/>
      <c r="T305" s="3"/>
      <c r="U305" s="3"/>
      <c r="V305" s="3"/>
      <c r="W305" s="8"/>
    </row>
    <row r="306" spans="2:23" x14ac:dyDescent="0.25">
      <c r="E306" s="125"/>
      <c r="F306" s="55"/>
      <c r="G306" s="55"/>
      <c r="H306" s="55"/>
      <c r="I306" s="55"/>
      <c r="J306" s="55"/>
      <c r="K306" s="55"/>
      <c r="L306" s="126"/>
      <c r="M306" s="3"/>
      <c r="S306" s="3"/>
      <c r="T306" s="3"/>
      <c r="U306" s="3"/>
      <c r="V306" s="3"/>
      <c r="W306" s="8"/>
    </row>
    <row r="307" spans="2:23" ht="39.75" x14ac:dyDescent="0.45">
      <c r="E307" s="58"/>
      <c r="F307" s="130" t="s">
        <v>152</v>
      </c>
      <c r="G307" s="127"/>
      <c r="H307" s="127"/>
      <c r="I307" s="55"/>
      <c r="J307" s="55"/>
      <c r="K307" s="55"/>
      <c r="L307" s="126"/>
      <c r="M307" s="3"/>
      <c r="Q307" s="3"/>
      <c r="R307" s="3"/>
      <c r="S307" s="3"/>
      <c r="T307" s="3"/>
      <c r="U307" s="3"/>
      <c r="V307" s="3"/>
      <c r="W307" s="8"/>
    </row>
    <row r="308" spans="2:23" ht="34.5" x14ac:dyDescent="0.45">
      <c r="E308" s="58"/>
      <c r="F308" s="127"/>
      <c r="G308" s="127"/>
      <c r="H308" s="127"/>
      <c r="I308" s="55"/>
      <c r="J308" s="55"/>
      <c r="K308" s="55"/>
      <c r="L308" s="126"/>
      <c r="M308" s="3"/>
      <c r="N308" s="3"/>
      <c r="O308" s="3"/>
      <c r="P308" s="3"/>
      <c r="Q308" s="3"/>
      <c r="R308" s="3"/>
      <c r="S308" s="3"/>
      <c r="T308" s="3"/>
      <c r="U308" s="3"/>
      <c r="V308" s="3"/>
      <c r="W308" s="1"/>
    </row>
    <row r="309" spans="2:23" x14ac:dyDescent="0.25">
      <c r="E309" s="58"/>
      <c r="F309" s="55"/>
      <c r="G309" s="55"/>
      <c r="H309" s="55"/>
      <c r="I309" s="55"/>
      <c r="J309" s="55"/>
      <c r="K309" s="55"/>
      <c r="L309" s="126"/>
      <c r="M309" s="3"/>
      <c r="N309" s="3"/>
      <c r="O309" s="3"/>
      <c r="P309" s="3"/>
      <c r="Q309" s="3"/>
      <c r="R309" s="3"/>
      <c r="S309" s="3"/>
      <c r="T309" s="3"/>
      <c r="U309" s="3"/>
      <c r="V309" s="3"/>
      <c r="W309" s="3"/>
    </row>
    <row r="310" spans="2:23" x14ac:dyDescent="0.25">
      <c r="D310" s="3"/>
      <c r="E310" s="58"/>
      <c r="F310" s="55"/>
      <c r="G310" s="55"/>
      <c r="H310" s="55"/>
      <c r="I310" s="55"/>
      <c r="J310" s="55"/>
      <c r="K310" s="55"/>
      <c r="L310" s="126"/>
      <c r="M310" s="3"/>
      <c r="N310" s="3"/>
      <c r="O310" s="3"/>
      <c r="P310" s="3"/>
    </row>
    <row r="311" spans="2:23" ht="16.5" thickBot="1" x14ac:dyDescent="0.3">
      <c r="E311" s="60"/>
      <c r="F311" s="128"/>
      <c r="G311" s="128"/>
      <c r="H311" s="128"/>
      <c r="I311" s="128"/>
      <c r="J311" s="128"/>
      <c r="K311" s="128"/>
      <c r="L311" s="62"/>
    </row>
    <row r="313" spans="2:23" x14ac:dyDescent="0.25">
      <c r="F313" s="25"/>
      <c r="G313" s="25"/>
    </row>
    <row r="314" spans="2:23" x14ac:dyDescent="0.25">
      <c r="F314" s="25"/>
      <c r="G314" s="25"/>
    </row>
    <row r="315" spans="2:23" x14ac:dyDescent="0.25">
      <c r="F315" s="25"/>
      <c r="G315" s="25"/>
    </row>
    <row r="316" spans="2:23" x14ac:dyDescent="0.25">
      <c r="F316" s="25"/>
      <c r="G316" s="25"/>
    </row>
    <row r="317" spans="2:23" x14ac:dyDescent="0.25">
      <c r="F317" s="25"/>
      <c r="G317" s="25"/>
    </row>
    <row r="318" spans="2:23" x14ac:dyDescent="0.25">
      <c r="F318" s="25"/>
      <c r="G318" s="25"/>
    </row>
    <row r="319" spans="2:23" x14ac:dyDescent="0.25">
      <c r="B319" s="156"/>
      <c r="C319" s="113"/>
      <c r="F319" s="25"/>
      <c r="G319" s="25"/>
    </row>
    <row r="320" spans="2:23" x14ac:dyDescent="0.25">
      <c r="C320" s="168"/>
      <c r="F320" s="25"/>
      <c r="G320" s="25"/>
    </row>
    <row r="321" spans="6:7" x14ac:dyDescent="0.25">
      <c r="F321" s="25"/>
      <c r="G321" s="25"/>
    </row>
  </sheetData>
  <mergeCells count="2">
    <mergeCell ref="D55:E55"/>
    <mergeCell ref="B79:C79"/>
  </mergeCells>
  <printOptions horizontalCentered="1"/>
  <pageMargins left="0.20624999999999999" right="0.27430555555555558" top="0.2" bottom="0.2361111111111111" header="0.5" footer="0.5"/>
  <pageSetup paperSize="8" scale="36" orientation="portrait" r:id="rId1"/>
  <headerFooter alignWithMargins="0">
    <oddFooter>&amp;L&amp;D &amp;T&amp;RDJH &amp;A</oddFooter>
  </headerFooter>
  <ignoredErrors>
    <ignoredError sqref="I10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6"/>
  <sheetViews>
    <sheetView showGridLines="0" workbookViewId="0">
      <selection activeCell="B12" sqref="B12"/>
    </sheetView>
  </sheetViews>
  <sheetFormatPr defaultColWidth="19.6640625" defaultRowHeight="15" x14ac:dyDescent="0.2"/>
  <cols>
    <col min="4" max="4" width="20.77734375" customWidth="1"/>
  </cols>
  <sheetData>
    <row r="2" spans="2:4" ht="18" x14ac:dyDescent="0.2">
      <c r="B2" s="202" t="s">
        <v>160</v>
      </c>
    </row>
    <row r="3" spans="2:4" ht="15.75" thickBot="1" x14ac:dyDescent="0.25">
      <c r="B3" s="196"/>
    </row>
    <row r="4" spans="2:4" ht="15.75" thickBot="1" x14ac:dyDescent="0.25">
      <c r="B4" s="197" t="s">
        <v>155</v>
      </c>
      <c r="C4" s="198" t="s">
        <v>156</v>
      </c>
      <c r="D4" s="198" t="s">
        <v>157</v>
      </c>
    </row>
    <row r="5" spans="2:4" ht="15.75" thickBot="1" x14ac:dyDescent="0.25">
      <c r="B5" s="199">
        <v>1</v>
      </c>
      <c r="C5" s="200">
        <v>42309</v>
      </c>
      <c r="D5" s="201" t="s">
        <v>158</v>
      </c>
    </row>
    <row r="6" spans="2:4" ht="30.75" thickBot="1" x14ac:dyDescent="0.25">
      <c r="B6" s="199">
        <v>1.1000000000000001</v>
      </c>
      <c r="C6" s="200">
        <v>42368</v>
      </c>
      <c r="D6" s="201"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Sheet</vt:lpstr>
      <vt:lpstr>Original Formula</vt:lpstr>
      <vt:lpstr>NTS GCD11 Option Two</vt:lpstr>
      <vt:lpstr>Version History</vt:lpstr>
      <vt:lpstr>'Version History'!_Toc424626359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Dangarembizi, Thomas</dc:creator>
  <cp:lastModifiedBy>Bob Fletcher</cp:lastModifiedBy>
  <cp:lastPrinted>2015-11-12T15:00:21Z</cp:lastPrinted>
  <dcterms:created xsi:type="dcterms:W3CDTF">2011-08-05T12:59:13Z</dcterms:created>
  <dcterms:modified xsi:type="dcterms:W3CDTF">2017-12-15T13:40:29Z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817476623</vt:i4>
  </property>
  <property fmtid="{D5CDD505-2E9C-101B-9397-08002B2CF9AE}" pid="3" name="_NewReviewCycle">
    <vt:lpwstr/>
  </property>
  <property fmtid="{D5CDD505-2E9C-101B-9397-08002B2CF9AE}" pid="4" name="_EmailSubject">
    <vt:lpwstr>EXT || Information for JO for Mod 636 Workgroup Report</vt:lpwstr>
  </property>
  <property fmtid="{D5CDD505-2E9C-101B-9397-08002B2CF9AE}" pid="5" name="_AuthorEmail">
    <vt:lpwstr>adam.bates@nationalgrid.com</vt:lpwstr>
  </property>
  <property fmtid="{D5CDD505-2E9C-101B-9397-08002B2CF9AE}" pid="6" name="_AuthorEmailDisplayName">
    <vt:lpwstr>Bates, Adam</vt:lpwstr>
  </property>
  <property fmtid="{D5CDD505-2E9C-101B-9397-08002B2CF9AE}" pid="7" name="_PreviousAdHocReviewCycleID">
    <vt:i4>1686620549</vt:i4>
  </property>
  <property fmtid="{D5CDD505-2E9C-101B-9397-08002B2CF9AE}" pid="8" name="_ReviewingToolsShownOnce">
    <vt:lpwstr/>
  </property>
</Properties>
</file>