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H:\My Documents\_Future Markets Gas\Charging\Short Haul Review\"/>
    </mc:Choice>
  </mc:AlternateContent>
  <bookViews>
    <workbookView xWindow="0" yWindow="0" windowWidth="12510" windowHeight="7080"/>
  </bookViews>
  <sheets>
    <sheet name="NTS OCC Methodology" sheetId="1" r:id="rId1"/>
    <sheet name="RPI Table" sheetId="2" r:id="rId2"/>
    <sheet name="Inflation assumptions" sheetId="5" r:id="rId3"/>
  </sheets>
  <calcPr calcId="171027"/>
</workbook>
</file>

<file path=xl/calcChain.xml><?xml version="1.0" encoding="utf-8"?>
<calcChain xmlns="http://schemas.openxmlformats.org/spreadsheetml/2006/main">
  <c r="B555" i="2" l="1"/>
  <c r="C554" i="2"/>
  <c r="C304" i="2" l="1"/>
  <c r="C5" i="5" s="1"/>
  <c r="D197" i="1" l="1"/>
  <c r="D196" i="1"/>
  <c r="D193" i="1"/>
  <c r="D192" i="1"/>
  <c r="D189" i="1"/>
  <c r="D188" i="1"/>
  <c r="D185" i="1"/>
  <c r="D184" i="1"/>
  <c r="D181" i="1"/>
  <c r="D180" i="1"/>
  <c r="H180" i="1"/>
  <c r="C80" i="1"/>
  <c r="E56" i="1"/>
  <c r="B23" i="1" l="1"/>
  <c r="B19" i="1"/>
  <c r="B15" i="1"/>
  <c r="B11" i="1"/>
  <c r="B7" i="1"/>
  <c r="B22" i="1"/>
  <c r="B18" i="1"/>
  <c r="B14" i="1"/>
  <c r="B10" i="1"/>
  <c r="B6" i="1"/>
  <c r="B24" i="1"/>
  <c r="B16" i="1"/>
  <c r="B8" i="1"/>
  <c r="B21" i="1"/>
  <c r="B17" i="1"/>
  <c r="B13" i="1"/>
  <c r="B9" i="1"/>
  <c r="B20" i="1"/>
  <c r="B12" i="1"/>
  <c r="D182" i="1"/>
  <c r="D186" i="1"/>
  <c r="F186" i="1" s="1"/>
  <c r="D190" i="1"/>
  <c r="D194" i="1"/>
  <c r="E194" i="1" s="1"/>
  <c r="D179" i="1"/>
  <c r="D183" i="1"/>
  <c r="E183" i="1" s="1"/>
  <c r="D187" i="1"/>
  <c r="D191" i="1"/>
  <c r="E191" i="1" s="1"/>
  <c r="D195" i="1"/>
  <c r="C544" i="2"/>
  <c r="C508" i="2"/>
  <c r="C436" i="2"/>
  <c r="D5" i="5" s="1"/>
  <c r="H5" i="5" s="1"/>
  <c r="D57" i="1" s="1"/>
  <c r="B81" i="1" s="1"/>
  <c r="B87" i="1" s="1"/>
  <c r="E197" i="1"/>
  <c r="E196" i="1"/>
  <c r="F196" i="1"/>
  <c r="F195" i="1"/>
  <c r="F194" i="1"/>
  <c r="E193" i="1"/>
  <c r="F192" i="1"/>
  <c r="E190" i="1"/>
  <c r="E189" i="1"/>
  <c r="F188" i="1"/>
  <c r="E187" i="1"/>
  <c r="E186" i="1"/>
  <c r="F185" i="1"/>
  <c r="E185" i="1"/>
  <c r="E184" i="1"/>
  <c r="F184" i="1"/>
  <c r="F183" i="1"/>
  <c r="F182" i="1"/>
  <c r="E181" i="1"/>
  <c r="F180" i="1"/>
  <c r="E179" i="1"/>
  <c r="B88" i="1"/>
  <c r="B86" i="1"/>
  <c r="B84" i="1"/>
  <c r="D76" i="1"/>
  <c r="D74" i="1"/>
  <c r="D72" i="1"/>
  <c r="D70" i="1"/>
  <c r="D68" i="1"/>
  <c r="D66" i="1"/>
  <c r="D64" i="1"/>
  <c r="D62" i="1"/>
  <c r="D60" i="1"/>
  <c r="D58" i="1"/>
  <c r="C36" i="1"/>
  <c r="C35" i="1"/>
  <c r="C34" i="1"/>
  <c r="C33" i="1"/>
  <c r="C32" i="1"/>
  <c r="C31" i="1"/>
  <c r="C30" i="1"/>
  <c r="E5" i="5" l="1"/>
  <c r="I5" i="5" s="1"/>
  <c r="D29" i="1" s="1"/>
  <c r="D38" i="1" s="1"/>
  <c r="B47" i="1" s="1"/>
  <c r="D59" i="1"/>
  <c r="D63" i="1"/>
  <c r="D67" i="1"/>
  <c r="D71" i="1"/>
  <c r="D75" i="1"/>
  <c r="B85" i="1"/>
  <c r="D61" i="1"/>
  <c r="D65" i="1"/>
  <c r="D69" i="1"/>
  <c r="D73" i="1"/>
  <c r="B83" i="1"/>
  <c r="D508" i="2"/>
  <c r="F190" i="1"/>
  <c r="E180" i="1"/>
  <c r="E182" i="1"/>
  <c r="F187" i="1"/>
  <c r="F189" i="1"/>
  <c r="F179" i="1"/>
  <c r="F181" i="1"/>
  <c r="E188" i="1"/>
  <c r="E192" i="1"/>
  <c r="F191" i="1"/>
  <c r="F193" i="1"/>
  <c r="F197" i="1"/>
  <c r="E195" i="1"/>
  <c r="D37" i="1" l="1"/>
  <c r="B46" i="1" s="1"/>
  <c r="E57" i="1"/>
  <c r="E68" i="1" s="1"/>
  <c r="B105" i="1" s="1"/>
  <c r="B134" i="1" s="1"/>
  <c r="D34" i="1"/>
  <c r="E34" i="1" s="1"/>
  <c r="D36" i="1"/>
  <c r="E36" i="1" s="1"/>
  <c r="D30" i="1"/>
  <c r="E30" i="1" s="1"/>
  <c r="D39" i="1"/>
  <c r="B48" i="1" s="1"/>
  <c r="D31" i="1"/>
  <c r="E31" i="1" s="1"/>
  <c r="D35" i="1"/>
  <c r="E35" i="1" s="1"/>
  <c r="C81" i="1"/>
  <c r="C85" i="1" s="1"/>
  <c r="D85" i="1" s="1"/>
  <c r="E171" i="1" s="1"/>
  <c r="D33" i="1"/>
  <c r="E33" i="1" s="1"/>
  <c r="C105" i="1" s="1"/>
  <c r="C134" i="1" s="1"/>
  <c r="D32" i="1"/>
  <c r="E32" i="1" s="1"/>
  <c r="C84" i="1"/>
  <c r="D84" i="1" s="1"/>
  <c r="E172" i="1" s="1"/>
  <c r="F105" i="1"/>
  <c r="F134" i="1" s="1"/>
  <c r="E63" i="1"/>
  <c r="B100" i="1" s="1"/>
  <c r="E59" i="1"/>
  <c r="B96" i="1" s="1"/>
  <c r="E67" i="1"/>
  <c r="B104" i="1" s="1"/>
  <c r="E60" i="1"/>
  <c r="B97" i="1" s="1"/>
  <c r="E75" i="1"/>
  <c r="B112" i="1" s="1"/>
  <c r="E71" i="1"/>
  <c r="B108" i="1" s="1"/>
  <c r="E64" i="1"/>
  <c r="B101" i="1" s="1"/>
  <c r="E76" i="1"/>
  <c r="B113" i="1" s="1"/>
  <c r="E72" i="1"/>
  <c r="B109" i="1" s="1"/>
  <c r="E69" i="1"/>
  <c r="B106" i="1" s="1"/>
  <c r="E65" i="1"/>
  <c r="B102" i="1" s="1"/>
  <c r="E61" i="1"/>
  <c r="B98" i="1" s="1"/>
  <c r="E73" i="1"/>
  <c r="B110" i="1" s="1"/>
  <c r="E66" i="1"/>
  <c r="B103" i="1" s="1"/>
  <c r="E62" i="1"/>
  <c r="B99" i="1" s="1"/>
  <c r="E58" i="1"/>
  <c r="B95" i="1" s="1"/>
  <c r="E70" i="1"/>
  <c r="B107" i="1" s="1"/>
  <c r="E105" i="1" l="1"/>
  <c r="E134" i="1" s="1"/>
  <c r="C83" i="1"/>
  <c r="D83" i="1" s="1"/>
  <c r="E173" i="1" s="1"/>
  <c r="E74" i="1"/>
  <c r="B111" i="1" s="1"/>
  <c r="D105" i="1"/>
  <c r="D134" i="1" s="1"/>
  <c r="C86" i="1"/>
  <c r="D86" i="1" s="1"/>
  <c r="C88" i="1"/>
  <c r="D88" i="1" s="1"/>
  <c r="E170" i="1" s="1"/>
  <c r="C87" i="1"/>
  <c r="B157" i="1"/>
  <c r="B213" i="1" s="1"/>
  <c r="B241" i="1" s="1"/>
  <c r="C241" i="1" s="1"/>
  <c r="C99" i="1"/>
  <c r="C128" i="1" s="1"/>
  <c r="F99" i="1"/>
  <c r="F128" i="1" s="1"/>
  <c r="E99" i="1"/>
  <c r="E128" i="1" s="1"/>
  <c r="D99" i="1"/>
  <c r="D128" i="1" s="1"/>
  <c r="B128" i="1"/>
  <c r="B151" i="1" s="1"/>
  <c r="B207" i="1" s="1"/>
  <c r="B235" i="1" s="1"/>
  <c r="C235" i="1" s="1"/>
  <c r="E102" i="1"/>
  <c r="E131" i="1" s="1"/>
  <c r="F102" i="1"/>
  <c r="F131" i="1" s="1"/>
  <c r="C102" i="1"/>
  <c r="C131" i="1" s="1"/>
  <c r="B131" i="1"/>
  <c r="B154" i="1" s="1"/>
  <c r="B210" i="1" s="1"/>
  <c r="B238" i="1" s="1"/>
  <c r="C238" i="1" s="1"/>
  <c r="D102" i="1"/>
  <c r="D131" i="1" s="1"/>
  <c r="C113" i="1"/>
  <c r="C142" i="1" s="1"/>
  <c r="B142" i="1"/>
  <c r="B165" i="1" s="1"/>
  <c r="B221" i="1" s="1"/>
  <c r="B249" i="1" s="1"/>
  <c r="C249" i="1" s="1"/>
  <c r="E113" i="1"/>
  <c r="E142" i="1" s="1"/>
  <c r="D113" i="1"/>
  <c r="D142" i="1" s="1"/>
  <c r="F113" i="1"/>
  <c r="F142" i="1" s="1"/>
  <c r="D101" i="1"/>
  <c r="D130" i="1" s="1"/>
  <c r="F101" i="1"/>
  <c r="F130" i="1" s="1"/>
  <c r="C101" i="1"/>
  <c r="C130" i="1" s="1"/>
  <c r="B130" i="1"/>
  <c r="B153" i="1" s="1"/>
  <c r="B209" i="1" s="1"/>
  <c r="B237" i="1" s="1"/>
  <c r="C237" i="1" s="1"/>
  <c r="E101" i="1"/>
  <c r="E130" i="1" s="1"/>
  <c r="F104" i="1"/>
  <c r="F133" i="1" s="1"/>
  <c r="C104" i="1"/>
  <c r="C133" i="1" s="1"/>
  <c r="E104" i="1"/>
  <c r="E133" i="1" s="1"/>
  <c r="D104" i="1"/>
  <c r="D133" i="1" s="1"/>
  <c r="B133" i="1"/>
  <c r="B156" i="1" s="1"/>
  <c r="B212" i="1" s="1"/>
  <c r="B240" i="1" s="1"/>
  <c r="C240" i="1" s="1"/>
  <c r="D103" i="1"/>
  <c r="D132" i="1" s="1"/>
  <c r="E103" i="1"/>
  <c r="E132" i="1" s="1"/>
  <c r="C103" i="1"/>
  <c r="C132" i="1" s="1"/>
  <c r="B132" i="1"/>
  <c r="B155" i="1" s="1"/>
  <c r="B211" i="1" s="1"/>
  <c r="B239" i="1" s="1"/>
  <c r="C239" i="1" s="1"/>
  <c r="F103" i="1"/>
  <c r="F132" i="1" s="1"/>
  <c r="F106" i="1"/>
  <c r="F135" i="1" s="1"/>
  <c r="E106" i="1"/>
  <c r="E135" i="1" s="1"/>
  <c r="D106" i="1"/>
  <c r="D135" i="1" s="1"/>
  <c r="C106" i="1"/>
  <c r="C135" i="1" s="1"/>
  <c r="B135" i="1"/>
  <c r="B158" i="1" s="1"/>
  <c r="C108" i="1"/>
  <c r="C137" i="1" s="1"/>
  <c r="F108" i="1"/>
  <c r="F137" i="1" s="1"/>
  <c r="E108" i="1"/>
  <c r="E137" i="1" s="1"/>
  <c r="B137" i="1"/>
  <c r="B160" i="1" s="1"/>
  <c r="B216" i="1" s="1"/>
  <c r="B244" i="1" s="1"/>
  <c r="C244" i="1" s="1"/>
  <c r="D108" i="1"/>
  <c r="D137" i="1" s="1"/>
  <c r="C111" i="1"/>
  <c r="C140" i="1" s="1"/>
  <c r="B140" i="1"/>
  <c r="B163" i="1" s="1"/>
  <c r="B219" i="1" s="1"/>
  <c r="B247" i="1" s="1"/>
  <c r="C247" i="1" s="1"/>
  <c r="D111" i="1"/>
  <c r="D140" i="1" s="1"/>
  <c r="F111" i="1"/>
  <c r="F140" i="1" s="1"/>
  <c r="E111" i="1"/>
  <c r="E140" i="1" s="1"/>
  <c r="E110" i="1"/>
  <c r="E139" i="1" s="1"/>
  <c r="E162" i="1" s="1"/>
  <c r="E218" i="1" s="1"/>
  <c r="F110" i="1"/>
  <c r="F139" i="1" s="1"/>
  <c r="D110" i="1"/>
  <c r="D139" i="1" s="1"/>
  <c r="D162" i="1" s="1"/>
  <c r="D218" i="1" s="1"/>
  <c r="B139" i="1"/>
  <c r="B162" i="1" s="1"/>
  <c r="B218" i="1" s="1"/>
  <c r="B246" i="1" s="1"/>
  <c r="C246" i="1" s="1"/>
  <c r="C110" i="1"/>
  <c r="C139" i="1" s="1"/>
  <c r="C162" i="1" s="1"/>
  <c r="C218" i="1" s="1"/>
  <c r="D87" i="1"/>
  <c r="J103" i="1"/>
  <c r="J132" i="1" s="1"/>
  <c r="J155" i="1" s="1"/>
  <c r="J110" i="1"/>
  <c r="J139" i="1" s="1"/>
  <c r="J112" i="1"/>
  <c r="J141" i="1" s="1"/>
  <c r="J164" i="1" s="1"/>
  <c r="J220" i="1" s="1"/>
  <c r="J100" i="1"/>
  <c r="J129" i="1" s="1"/>
  <c r="J108" i="1"/>
  <c r="J137" i="1" s="1"/>
  <c r="J160" i="1" s="1"/>
  <c r="J216" i="1" s="1"/>
  <c r="J113" i="1"/>
  <c r="J142" i="1" s="1"/>
  <c r="J104" i="1"/>
  <c r="J133" i="1" s="1"/>
  <c r="J156" i="1" s="1"/>
  <c r="J212" i="1" s="1"/>
  <c r="J101" i="1"/>
  <c r="J130" i="1" s="1"/>
  <c r="J107" i="1"/>
  <c r="J136" i="1" s="1"/>
  <c r="J159" i="1" s="1"/>
  <c r="J215" i="1" s="1"/>
  <c r="J102" i="1"/>
  <c r="J131" i="1" s="1"/>
  <c r="J99" i="1"/>
  <c r="J128" i="1" s="1"/>
  <c r="J151" i="1" s="1"/>
  <c r="J207" i="1" s="1"/>
  <c r="J109" i="1"/>
  <c r="J138" i="1" s="1"/>
  <c r="J106" i="1"/>
  <c r="J135" i="1" s="1"/>
  <c r="J158" i="1" s="1"/>
  <c r="J214" i="1" s="1"/>
  <c r="J111" i="1"/>
  <c r="J140" i="1" s="1"/>
  <c r="J105" i="1"/>
  <c r="J134" i="1" s="1"/>
  <c r="J157" i="1" s="1"/>
  <c r="J213" i="1" s="1"/>
  <c r="E112" i="1"/>
  <c r="E141" i="1" s="1"/>
  <c r="F112" i="1"/>
  <c r="F141" i="1" s="1"/>
  <c r="F164" i="1" s="1"/>
  <c r="F220" i="1" s="1"/>
  <c r="D112" i="1"/>
  <c r="D141" i="1" s="1"/>
  <c r="C112" i="1"/>
  <c r="C141" i="1" s="1"/>
  <c r="C164" i="1" s="1"/>
  <c r="C220" i="1" s="1"/>
  <c r="B141" i="1"/>
  <c r="B164" i="1" s="1"/>
  <c r="B220" i="1" s="1"/>
  <c r="B248" i="1" s="1"/>
  <c r="C248" i="1" s="1"/>
  <c r="B125" i="1"/>
  <c r="B148" i="1" s="1"/>
  <c r="B204" i="1" s="1"/>
  <c r="B232" i="1" s="1"/>
  <c r="C232" i="1" s="1"/>
  <c r="C96" i="1"/>
  <c r="C125" i="1" s="1"/>
  <c r="E107" i="1"/>
  <c r="E136" i="1" s="1"/>
  <c r="E159" i="1" s="1"/>
  <c r="E215" i="1" s="1"/>
  <c r="C107" i="1"/>
  <c r="C136" i="1" s="1"/>
  <c r="B136" i="1"/>
  <c r="B159" i="1" s="1"/>
  <c r="B215" i="1" s="1"/>
  <c r="B243" i="1" s="1"/>
  <c r="C243" i="1" s="1"/>
  <c r="D107" i="1"/>
  <c r="D136" i="1" s="1"/>
  <c r="F107" i="1"/>
  <c r="F136" i="1" s="1"/>
  <c r="F159" i="1" s="1"/>
  <c r="F215" i="1" s="1"/>
  <c r="H113" i="1"/>
  <c r="H142" i="1" s="1"/>
  <c r="H103" i="1"/>
  <c r="H132" i="1" s="1"/>
  <c r="H155" i="1" s="1"/>
  <c r="H211" i="1" s="1"/>
  <c r="H109" i="1"/>
  <c r="H138" i="1" s="1"/>
  <c r="H99" i="1"/>
  <c r="H128" i="1" s="1"/>
  <c r="H151" i="1" s="1"/>
  <c r="H207" i="1" s="1"/>
  <c r="H105" i="1"/>
  <c r="H134" i="1" s="1"/>
  <c r="G113" i="1"/>
  <c r="G142" i="1" s="1"/>
  <c r="G165" i="1" s="1"/>
  <c r="G221" i="1" s="1"/>
  <c r="G102" i="1"/>
  <c r="G131" i="1" s="1"/>
  <c r="G109" i="1"/>
  <c r="G138" i="1" s="1"/>
  <c r="G161" i="1" s="1"/>
  <c r="G217" i="1" s="1"/>
  <c r="G105" i="1"/>
  <c r="G134" i="1" s="1"/>
  <c r="H106" i="1"/>
  <c r="H135" i="1" s="1"/>
  <c r="H158" i="1" s="1"/>
  <c r="H214" i="1" s="1"/>
  <c r="I113" i="1"/>
  <c r="I142" i="1" s="1"/>
  <c r="I103" i="1"/>
  <c r="I132" i="1" s="1"/>
  <c r="I155" i="1" s="1"/>
  <c r="I211" i="1" s="1"/>
  <c r="I111" i="1"/>
  <c r="I140" i="1" s="1"/>
  <c r="G108" i="1"/>
  <c r="G137" i="1" s="1"/>
  <c r="G160" i="1" s="1"/>
  <c r="G216" i="1" s="1"/>
  <c r="G100" i="1"/>
  <c r="G129" i="1" s="1"/>
  <c r="I101" i="1"/>
  <c r="I130" i="1" s="1"/>
  <c r="I153" i="1" s="1"/>
  <c r="I209" i="1" s="1"/>
  <c r="G106" i="1"/>
  <c r="G135" i="1" s="1"/>
  <c r="H108" i="1"/>
  <c r="H137" i="1" s="1"/>
  <c r="H160" i="1" s="1"/>
  <c r="H216" i="1" s="1"/>
  <c r="G101" i="1"/>
  <c r="G130" i="1" s="1"/>
  <c r="I99" i="1"/>
  <c r="I128" i="1" s="1"/>
  <c r="I151" i="1" s="1"/>
  <c r="I207" i="1" s="1"/>
  <c r="G99" i="1"/>
  <c r="G128" i="1" s="1"/>
  <c r="G111" i="1"/>
  <c r="G140" i="1" s="1"/>
  <c r="G163" i="1" s="1"/>
  <c r="G219" i="1" s="1"/>
  <c r="C46" i="1"/>
  <c r="E37" i="1" s="1"/>
  <c r="B124" i="1"/>
  <c r="B147" i="1" s="1"/>
  <c r="C95" i="1"/>
  <c r="C124" i="1" s="1"/>
  <c r="D98" i="1"/>
  <c r="D127" i="1" s="1"/>
  <c r="D150" i="1" s="1"/>
  <c r="D206" i="1" s="1"/>
  <c r="C98" i="1"/>
  <c r="C127" i="1" s="1"/>
  <c r="F98" i="1"/>
  <c r="F127" i="1" s="1"/>
  <c r="F150" i="1" s="1"/>
  <c r="F206" i="1" s="1"/>
  <c r="E98" i="1"/>
  <c r="E127" i="1" s="1"/>
  <c r="B127" i="1"/>
  <c r="B150" i="1" s="1"/>
  <c r="B206" i="1" s="1"/>
  <c r="B234" i="1" s="1"/>
  <c r="C234" i="1" s="1"/>
  <c r="C109" i="1"/>
  <c r="C138" i="1" s="1"/>
  <c r="E109" i="1"/>
  <c r="E138" i="1" s="1"/>
  <c r="E161" i="1" s="1"/>
  <c r="E217" i="1" s="1"/>
  <c r="D109" i="1"/>
  <c r="D138" i="1" s="1"/>
  <c r="B138" i="1"/>
  <c r="B161" i="1" s="1"/>
  <c r="B217" i="1" s="1"/>
  <c r="B245" i="1" s="1"/>
  <c r="C245" i="1" s="1"/>
  <c r="F109" i="1"/>
  <c r="F138" i="1" s="1"/>
  <c r="C47" i="1"/>
  <c r="E38" i="1" s="1"/>
  <c r="G96" i="1" s="1"/>
  <c r="G125" i="1" s="1"/>
  <c r="G148" i="1" s="1"/>
  <c r="G204" i="1" s="1"/>
  <c r="C97" i="1"/>
  <c r="C126" i="1" s="1"/>
  <c r="D97" i="1"/>
  <c r="D126" i="1" s="1"/>
  <c r="D149" i="1" s="1"/>
  <c r="D205" i="1" s="1"/>
  <c r="B126" i="1"/>
  <c r="B149" i="1" s="1"/>
  <c r="B205" i="1" s="1"/>
  <c r="B233" i="1" s="1"/>
  <c r="C233" i="1" s="1"/>
  <c r="C48" i="1"/>
  <c r="E39" i="1" s="1"/>
  <c r="D100" i="1"/>
  <c r="D129" i="1" s="1"/>
  <c r="F100" i="1"/>
  <c r="F129" i="1" s="1"/>
  <c r="F152" i="1" s="1"/>
  <c r="F208" i="1" s="1"/>
  <c r="E100" i="1"/>
  <c r="E129" i="1" s="1"/>
  <c r="C100" i="1"/>
  <c r="C129" i="1" s="1"/>
  <c r="C152" i="1" s="1"/>
  <c r="C208" i="1" s="1"/>
  <c r="B129" i="1"/>
  <c r="B152" i="1" s="1"/>
  <c r="B208" i="1" s="1"/>
  <c r="B236" i="1" s="1"/>
  <c r="C236" i="1" s="1"/>
  <c r="D157" i="1"/>
  <c r="D213" i="1" s="1"/>
  <c r="I105" i="1" l="1"/>
  <c r="I134" i="1" s="1"/>
  <c r="I157" i="1" s="1"/>
  <c r="I213" i="1" s="1"/>
  <c r="G110" i="1"/>
  <c r="G139" i="1" s="1"/>
  <c r="G162" i="1" s="1"/>
  <c r="G218" i="1" s="1"/>
  <c r="G112" i="1"/>
  <c r="G141" i="1" s="1"/>
  <c r="G164" i="1" s="1"/>
  <c r="G220" i="1" s="1"/>
  <c r="I102" i="1"/>
  <c r="I131" i="1" s="1"/>
  <c r="I154" i="1" s="1"/>
  <c r="I210" i="1" s="1"/>
  <c r="I106" i="1"/>
  <c r="I135" i="1" s="1"/>
  <c r="I158" i="1" s="1"/>
  <c r="I214" i="1" s="1"/>
  <c r="I110" i="1"/>
  <c r="I139" i="1" s="1"/>
  <c r="I162" i="1" s="1"/>
  <c r="I218" i="1" s="1"/>
  <c r="H111" i="1"/>
  <c r="H140" i="1" s="1"/>
  <c r="H163" i="1" s="1"/>
  <c r="H219" i="1" s="1"/>
  <c r="H110" i="1"/>
  <c r="H139" i="1" s="1"/>
  <c r="H162" i="1" s="1"/>
  <c r="H218" i="1" s="1"/>
  <c r="H104" i="1"/>
  <c r="H133" i="1" s="1"/>
  <c r="H156" i="1" s="1"/>
  <c r="H212" i="1" s="1"/>
  <c r="G104" i="1"/>
  <c r="G133" i="1" s="1"/>
  <c r="G156" i="1" s="1"/>
  <c r="G212" i="1" s="1"/>
  <c r="I104" i="1"/>
  <c r="I133" i="1" s="1"/>
  <c r="I156" i="1" s="1"/>
  <c r="I212" i="1" s="1"/>
  <c r="H100" i="1"/>
  <c r="H129" i="1" s="1"/>
  <c r="H152" i="1" s="1"/>
  <c r="H208" i="1" s="1"/>
  <c r="H101" i="1"/>
  <c r="H130" i="1" s="1"/>
  <c r="H153" i="1" s="1"/>
  <c r="H209" i="1" s="1"/>
  <c r="H107" i="1"/>
  <c r="H136" i="1" s="1"/>
  <c r="H159" i="1" s="1"/>
  <c r="H215" i="1" s="1"/>
  <c r="I100" i="1"/>
  <c r="I129" i="1" s="1"/>
  <c r="I152" i="1" s="1"/>
  <c r="I208" i="1" s="1"/>
  <c r="G107" i="1"/>
  <c r="G136" i="1" s="1"/>
  <c r="G159" i="1" s="1"/>
  <c r="G215" i="1" s="1"/>
  <c r="I109" i="1"/>
  <c r="I138" i="1" s="1"/>
  <c r="I161" i="1" s="1"/>
  <c r="I217" i="1" s="1"/>
  <c r="G103" i="1"/>
  <c r="G132" i="1" s="1"/>
  <c r="G155" i="1" s="1"/>
  <c r="G211" i="1" s="1"/>
  <c r="H112" i="1"/>
  <c r="H141" i="1" s="1"/>
  <c r="I108" i="1"/>
  <c r="I137" i="1" s="1"/>
  <c r="I160" i="1" s="1"/>
  <c r="I216" i="1" s="1"/>
  <c r="I112" i="1"/>
  <c r="I141" i="1" s="1"/>
  <c r="I164" i="1" s="1"/>
  <c r="I220" i="1" s="1"/>
  <c r="I107" i="1"/>
  <c r="I136" i="1" s="1"/>
  <c r="I159" i="1" s="1"/>
  <c r="I215" i="1" s="1"/>
  <c r="H102" i="1"/>
  <c r="H131" i="1" s="1"/>
  <c r="H154" i="1" s="1"/>
  <c r="H210" i="1" s="1"/>
  <c r="B263" i="1"/>
  <c r="C263" i="1" s="1"/>
  <c r="B268" i="1"/>
  <c r="C268" i="1" s="1"/>
  <c r="B271" i="1"/>
  <c r="C271" i="1" s="1"/>
  <c r="B269" i="1"/>
  <c r="C269" i="1" s="1"/>
  <c r="D163" i="1"/>
  <c r="D219" i="1" s="1"/>
  <c r="F158" i="1"/>
  <c r="F214" i="1" s="1"/>
  <c r="E155" i="1"/>
  <c r="E211" i="1" s="1"/>
  <c r="E156" i="1"/>
  <c r="E212" i="1" s="1"/>
  <c r="F165" i="1"/>
  <c r="F221" i="1" s="1"/>
  <c r="C165" i="1"/>
  <c r="C221" i="1" s="1"/>
  <c r="F154" i="1"/>
  <c r="F210" i="1" s="1"/>
  <c r="E151" i="1"/>
  <c r="E207" i="1" s="1"/>
  <c r="C157" i="1"/>
  <c r="C213" i="1" s="1"/>
  <c r="E152" i="1"/>
  <c r="E208" i="1" s="1"/>
  <c r="E163" i="1"/>
  <c r="E219" i="1" s="1"/>
  <c r="C163" i="1"/>
  <c r="C219" i="1" s="1"/>
  <c r="F160" i="1"/>
  <c r="F216" i="1" s="1"/>
  <c r="D158" i="1"/>
  <c r="D214" i="1" s="1"/>
  <c r="F156" i="1"/>
  <c r="F212" i="1" s="1"/>
  <c r="F153" i="1"/>
  <c r="F209" i="1" s="1"/>
  <c r="E165" i="1"/>
  <c r="E221" i="1" s="1"/>
  <c r="C151" i="1"/>
  <c r="C207" i="1" s="1"/>
  <c r="F161" i="1"/>
  <c r="F217" i="1" s="1"/>
  <c r="C161" i="1"/>
  <c r="C217" i="1" s="1"/>
  <c r="C150" i="1"/>
  <c r="C206" i="1" s="1"/>
  <c r="G151" i="1"/>
  <c r="G207" i="1" s="1"/>
  <c r="G153" i="1"/>
  <c r="G209" i="1" s="1"/>
  <c r="G158" i="1"/>
  <c r="G214" i="1" s="1"/>
  <c r="G152" i="1"/>
  <c r="G208" i="1" s="1"/>
  <c r="I163" i="1"/>
  <c r="I219" i="1" s="1"/>
  <c r="I165" i="1"/>
  <c r="I221" i="1" s="1"/>
  <c r="G157" i="1"/>
  <c r="G213" i="1" s="1"/>
  <c r="G154" i="1"/>
  <c r="G210" i="1" s="1"/>
  <c r="H157" i="1"/>
  <c r="H213" i="1" s="1"/>
  <c r="H161" i="1"/>
  <c r="H217" i="1" s="1"/>
  <c r="H165" i="1"/>
  <c r="H221" i="1" s="1"/>
  <c r="D159" i="1"/>
  <c r="D215" i="1" s="1"/>
  <c r="C148" i="1"/>
  <c r="C204" i="1" s="1"/>
  <c r="D164" i="1"/>
  <c r="D220" i="1" s="1"/>
  <c r="J163" i="1"/>
  <c r="J219" i="1" s="1"/>
  <c r="B275" i="1" s="1"/>
  <c r="C275" i="1" s="1"/>
  <c r="J154" i="1"/>
  <c r="J210" i="1" s="1"/>
  <c r="B266" i="1" s="1"/>
  <c r="C266" i="1" s="1"/>
  <c r="J165" i="1"/>
  <c r="J221" i="1" s="1"/>
  <c r="B277" i="1" s="1"/>
  <c r="C277" i="1" s="1"/>
  <c r="J162" i="1"/>
  <c r="J218" i="1" s="1"/>
  <c r="B274" i="1" s="1"/>
  <c r="C274" i="1" s="1"/>
  <c r="F157" i="1"/>
  <c r="F213" i="1" s="1"/>
  <c r="E160" i="1"/>
  <c r="E216" i="1" s="1"/>
  <c r="C158" i="1"/>
  <c r="C214" i="1" s="1"/>
  <c r="F155" i="1"/>
  <c r="F211" i="1" s="1"/>
  <c r="D155" i="1"/>
  <c r="D211" i="1" s="1"/>
  <c r="C156" i="1"/>
  <c r="C212" i="1" s="1"/>
  <c r="C153" i="1"/>
  <c r="C209" i="1" s="1"/>
  <c r="D165" i="1"/>
  <c r="D221" i="1" s="1"/>
  <c r="D154" i="1"/>
  <c r="D210" i="1" s="1"/>
  <c r="E154" i="1"/>
  <c r="E210" i="1" s="1"/>
  <c r="F151" i="1"/>
  <c r="F207" i="1" s="1"/>
  <c r="D152" i="1"/>
  <c r="D208" i="1" s="1"/>
  <c r="C149" i="1"/>
  <c r="C205" i="1" s="1"/>
  <c r="D161" i="1"/>
  <c r="D217" i="1" s="1"/>
  <c r="E150" i="1"/>
  <c r="E206" i="1" s="1"/>
  <c r="C147" i="1"/>
  <c r="C203" i="1" s="1"/>
  <c r="H164" i="1"/>
  <c r="H220" i="1" s="1"/>
  <c r="C159" i="1"/>
  <c r="C215" i="1" s="1"/>
  <c r="E164" i="1"/>
  <c r="E220" i="1" s="1"/>
  <c r="J161" i="1"/>
  <c r="J217" i="1" s="1"/>
  <c r="B273" i="1" s="1"/>
  <c r="C273" i="1" s="1"/>
  <c r="J153" i="1"/>
  <c r="J209" i="1" s="1"/>
  <c r="B265" i="1" s="1"/>
  <c r="C265" i="1" s="1"/>
  <c r="J152" i="1"/>
  <c r="J208" i="1" s="1"/>
  <c r="B264" i="1" s="1"/>
  <c r="C264" i="1" s="1"/>
  <c r="F162" i="1"/>
  <c r="F218" i="1" s="1"/>
  <c r="F163" i="1"/>
  <c r="F219" i="1" s="1"/>
  <c r="D160" i="1"/>
  <c r="D216" i="1" s="1"/>
  <c r="C160" i="1"/>
  <c r="C216" i="1" s="1"/>
  <c r="E158" i="1"/>
  <c r="E214" i="1" s="1"/>
  <c r="C155" i="1"/>
  <c r="C211" i="1" s="1"/>
  <c r="D156" i="1"/>
  <c r="D212" i="1" s="1"/>
  <c r="E153" i="1"/>
  <c r="E209" i="1" s="1"/>
  <c r="D153" i="1"/>
  <c r="D209" i="1" s="1"/>
  <c r="C154" i="1"/>
  <c r="C210" i="1" s="1"/>
  <c r="D151" i="1"/>
  <c r="D207" i="1" s="1"/>
  <c r="E157" i="1"/>
  <c r="E213" i="1" s="1"/>
  <c r="B272" i="1"/>
  <c r="C272" i="1" s="1"/>
  <c r="F97" i="1"/>
  <c r="F126" i="1" s="1"/>
  <c r="F149" i="1" s="1"/>
  <c r="F205" i="1" s="1"/>
  <c r="H98" i="1"/>
  <c r="H127" i="1" s="1"/>
  <c r="H150" i="1" s="1"/>
  <c r="H206" i="1" s="1"/>
  <c r="E95" i="1"/>
  <c r="E124" i="1" s="1"/>
  <c r="E147" i="1" s="1"/>
  <c r="E203" i="1" s="1"/>
  <c r="F95" i="1"/>
  <c r="F124" i="1" s="1"/>
  <c r="F147" i="1" s="1"/>
  <c r="F203" i="1" s="1"/>
  <c r="H95" i="1"/>
  <c r="H124" i="1" s="1"/>
  <c r="H147" i="1" s="1"/>
  <c r="H203" i="1" s="1"/>
  <c r="F96" i="1"/>
  <c r="F125" i="1" s="1"/>
  <c r="F148" i="1" s="1"/>
  <c r="F204" i="1" s="1"/>
  <c r="H97" i="1"/>
  <c r="H126" i="1" s="1"/>
  <c r="H149" i="1" s="1"/>
  <c r="H205" i="1" s="1"/>
  <c r="D95" i="1"/>
  <c r="D124" i="1" s="1"/>
  <c r="D147" i="1" s="1"/>
  <c r="D203" i="1" s="1"/>
  <c r="I95" i="1"/>
  <c r="I124" i="1" s="1"/>
  <c r="I147" i="1" s="1"/>
  <c r="I203" i="1" s="1"/>
  <c r="J96" i="1"/>
  <c r="J125" i="1" s="1"/>
  <c r="J148" i="1" s="1"/>
  <c r="J204" i="1" s="1"/>
  <c r="B260" i="1" s="1"/>
  <c r="C260" i="1" s="1"/>
  <c r="G97" i="1"/>
  <c r="G126" i="1" s="1"/>
  <c r="G149" i="1" s="1"/>
  <c r="G205" i="1" s="1"/>
  <c r="J97" i="1"/>
  <c r="J126" i="1" s="1"/>
  <c r="J149" i="1" s="1"/>
  <c r="J205" i="1" s="1"/>
  <c r="B261" i="1" s="1"/>
  <c r="C261" i="1" s="1"/>
  <c r="J95" i="1"/>
  <c r="J124" i="1" s="1"/>
  <c r="J147" i="1" s="1"/>
  <c r="J203" i="1" s="1"/>
  <c r="B203" i="1"/>
  <c r="B231" i="1" s="1"/>
  <c r="C231" i="1" s="1"/>
  <c r="I97" i="1"/>
  <c r="I126" i="1" s="1"/>
  <c r="I149" i="1" s="1"/>
  <c r="I205" i="1" s="1"/>
  <c r="E97" i="1"/>
  <c r="E126" i="1" s="1"/>
  <c r="E149" i="1" s="1"/>
  <c r="E205" i="1" s="1"/>
  <c r="D96" i="1"/>
  <c r="D125" i="1" s="1"/>
  <c r="D148" i="1" s="1"/>
  <c r="D204" i="1" s="1"/>
  <c r="J211" i="1"/>
  <c r="I98" i="1"/>
  <c r="I127" i="1" s="1"/>
  <c r="I150" i="1" s="1"/>
  <c r="I206" i="1" s="1"/>
  <c r="G98" i="1"/>
  <c r="G127" i="1" s="1"/>
  <c r="G150" i="1" s="1"/>
  <c r="G206" i="1" s="1"/>
  <c r="H96" i="1"/>
  <c r="H125" i="1" s="1"/>
  <c r="H148" i="1" s="1"/>
  <c r="H204" i="1" s="1"/>
  <c r="G95" i="1"/>
  <c r="G124" i="1" s="1"/>
  <c r="G147" i="1" s="1"/>
  <c r="G203" i="1" s="1"/>
  <c r="J98" i="1"/>
  <c r="J127" i="1" s="1"/>
  <c r="J150" i="1" s="1"/>
  <c r="J206" i="1" s="1"/>
  <c r="B262" i="1" s="1"/>
  <c r="C262" i="1" s="1"/>
  <c r="B276" i="1"/>
  <c r="C276" i="1" s="1"/>
  <c r="B214" i="1"/>
  <c r="B242" i="1" s="1"/>
  <c r="C242" i="1" s="1"/>
  <c r="I96" i="1"/>
  <c r="I125" i="1" s="1"/>
  <c r="I148" i="1" s="1"/>
  <c r="I204" i="1" s="1"/>
  <c r="E96" i="1"/>
  <c r="E125" i="1" s="1"/>
  <c r="E148" i="1" s="1"/>
  <c r="E204" i="1" s="1"/>
  <c r="B259" i="1" l="1"/>
  <c r="C259" i="1" s="1"/>
  <c r="B267" i="1"/>
  <c r="C267" i="1" s="1"/>
  <c r="N251" i="1"/>
  <c r="L253" i="1" s="1"/>
  <c r="L251" i="1"/>
  <c r="B270" i="1"/>
  <c r="C270" i="1" s="1"/>
  <c r="J252" i="1" l="1"/>
  <c r="J251" i="1"/>
  <c r="J253" i="1"/>
  <c r="N279" i="1"/>
  <c r="L281" i="1" s="1"/>
  <c r="L279" i="1"/>
  <c r="F295" i="1" l="1"/>
  <c r="J279" i="1"/>
  <c r="J280" i="1"/>
  <c r="J281" i="1"/>
</calcChain>
</file>

<file path=xl/sharedStrings.xml><?xml version="1.0" encoding="utf-8"?>
<sst xmlns="http://schemas.openxmlformats.org/spreadsheetml/2006/main" count="771" uniqueCount="656">
  <si>
    <t>1) Pipeline Diameters for a range of distances and peak-day flowrates</t>
  </si>
  <si>
    <t>SOQ(mcmd)</t>
  </si>
  <si>
    <t>SOQ (KWh)</t>
  </si>
  <si>
    <t>5 km</t>
  </si>
  <si>
    <t>10 km</t>
  </si>
  <si>
    <t>15 km</t>
  </si>
  <si>
    <t>20 km</t>
  </si>
  <si>
    <t>25 km</t>
  </si>
  <si>
    <t>30 km</t>
  </si>
  <si>
    <t>40 km</t>
  </si>
  <si>
    <t>50 km</t>
  </si>
  <si>
    <t>2) Pipelaying Unit Costs</t>
  </si>
  <si>
    <t>Steel Index</t>
  </si>
  <si>
    <t>RPI Indexation</t>
  </si>
  <si>
    <t>Pipe size</t>
  </si>
  <si>
    <t>1998 Unit Cost</t>
  </si>
  <si>
    <t>9/10 Prices</t>
  </si>
  <si>
    <t>Diam. (mm)</t>
  </si>
  <si>
    <t>£/km</t>
  </si>
  <si>
    <t>New pipe sizes</t>
  </si>
  <si>
    <t>Cost</t>
  </si>
  <si>
    <t>Pipelaying costs contribution (%)</t>
  </si>
  <si>
    <t>3) Maintenance cost</t>
  </si>
  <si>
    <t>09/10 Prices</t>
  </si>
  <si>
    <t>Flowrate (mcmd)</t>
  </si>
  <si>
    <t>Pipe Diam</t>
  </si>
  <si>
    <t>Total £'000's</t>
  </si>
  <si>
    <t>09/10 Price</t>
  </si>
  <si>
    <t>Original</t>
  </si>
  <si>
    <t>4) Total Capital Costs for a range of distances and peak-day flowrates</t>
  </si>
  <si>
    <t>Pipeline Length, km</t>
  </si>
  <si>
    <t>Flowrate</t>
  </si>
  <si>
    <t>60mcmd</t>
  </si>
  <si>
    <t>50mcmd</t>
  </si>
  <si>
    <t>40mcmd</t>
  </si>
  <si>
    <t>30mcmd</t>
  </si>
  <si>
    <t>20mcmd</t>
  </si>
  <si>
    <t>15 mcmd</t>
  </si>
  <si>
    <t>12 mcmd</t>
  </si>
  <si>
    <t>10 mcmd</t>
  </si>
  <si>
    <t>7 mcmd</t>
  </si>
  <si>
    <t>5 mcmd</t>
  </si>
  <si>
    <t>4 mcmd</t>
  </si>
  <si>
    <t>3 mcmd</t>
  </si>
  <si>
    <t>2 mcmd</t>
  </si>
  <si>
    <t>1 mcmd</t>
  </si>
  <si>
    <t>0.5 mcmd</t>
  </si>
  <si>
    <t>0.4 mcmd</t>
  </si>
  <si>
    <t>0.3 mcmd</t>
  </si>
  <si>
    <t>0.2 mcmd</t>
  </si>
  <si>
    <t>0.1 mcmd</t>
  </si>
  <si>
    <t xml:space="preserve">6) Annuitised </t>
  </si>
  <si>
    <t>7) Ongoing Costs</t>
  </si>
  <si>
    <t>This includes Gas Control costs and non-distance related annuitised costs</t>
  </si>
  <si>
    <t>Costs in Above Table :-    Non-dist.costs(annuitised) +</t>
  </si>
  <si>
    <t>8) Supply point capacities</t>
  </si>
  <si>
    <t>Pk Day</t>
  </si>
  <si>
    <t>Ln (SOQ)</t>
  </si>
  <si>
    <t>Load Factor =</t>
  </si>
  <si>
    <t>9) Cost per kWh</t>
  </si>
  <si>
    <t>Pence per kWh</t>
  </si>
  <si>
    <t xml:space="preserve">0 km </t>
  </si>
  <si>
    <t>50km</t>
  </si>
  <si>
    <t>10) Function calculation</t>
  </si>
  <si>
    <t>NON-DISTANCE</t>
  </si>
  <si>
    <t>Cost per KWh</t>
  </si>
  <si>
    <t>DISTANCE ELEMENT</t>
  </si>
  <si>
    <t xml:space="preserve">exp </t>
  </si>
  <si>
    <t>11) Function Calculation</t>
  </si>
  <si>
    <t>Title</t>
  </si>
  <si>
    <t>RPI All Items Index: Jan 1987=100</t>
  </si>
  <si>
    <t>CDID</t>
  </si>
  <si>
    <t>CHAW</t>
  </si>
  <si>
    <t>Source dataset ID</t>
  </si>
  <si>
    <t>MM23</t>
  </si>
  <si>
    <t>PreUnit</t>
  </si>
  <si>
    <t/>
  </si>
  <si>
    <t>Unit</t>
  </si>
  <si>
    <t>Index, base year = 100</t>
  </si>
  <si>
    <t>Release date</t>
  </si>
  <si>
    <t>16-01-2019</t>
  </si>
  <si>
    <t>Next release</t>
  </si>
  <si>
    <t>13 February 2019</t>
  </si>
  <si>
    <t>Important notes</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</si>
  <si>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</si>
  <si>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</si>
  <si>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</si>
  <si>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</si>
  <si>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</si>
  <si>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</si>
  <si>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</si>
  <si>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</si>
  <si>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</si>
  <si>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</si>
  <si>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</si>
  <si>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</si>
  <si>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</si>
  <si>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</si>
  <si>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</si>
  <si>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</si>
  <si>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</si>
  <si>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</si>
  <si>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</si>
  <si>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</si>
  <si>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</si>
  <si>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</si>
  <si>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</si>
  <si>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</si>
  <si>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</si>
  <si>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</si>
  <si>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</si>
  <si>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</si>
  <si>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</si>
  <si>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</si>
  <si>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</si>
  <si>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</si>
  <si>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</si>
  <si>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</si>
  <si>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</si>
  <si>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</si>
  <si>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</si>
  <si>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</si>
  <si>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</si>
  <si>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</si>
  <si>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</si>
  <si>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</si>
  <si>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</si>
  <si>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</si>
  <si>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</si>
  <si>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</si>
  <si>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</si>
  <si>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</si>
  <si>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</si>
  <si>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</si>
  <si>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</si>
  <si>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</si>
  <si>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</si>
  <si>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</si>
  <si>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</si>
  <si>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</si>
  <si>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</si>
  <si>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</si>
  <si>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</si>
  <si>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</si>
  <si>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</si>
  <si>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</si>
  <si>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</si>
  <si>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</si>
  <si>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</si>
  <si>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</si>
  <si>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</si>
  <si>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</si>
  <si>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</si>
  <si>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</si>
  <si>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</si>
  <si>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</si>
  <si>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</si>
  <si>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</si>
  <si>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</si>
  <si>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</si>
  <si>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</si>
  <si>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</si>
  <si>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</si>
  <si>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</si>
  <si>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</si>
  <si>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</si>
  <si>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</si>
  <si>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</si>
  <si>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</si>
  <si>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</si>
  <si>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</si>
  <si>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</si>
  <si>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</si>
  <si>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</si>
  <si>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</si>
  <si>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</si>
  <si>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</si>
  <si>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</si>
  <si>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</si>
  <si>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</si>
  <si>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</si>
  <si>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</si>
  <si>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</si>
  <si>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</si>
  <si>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</si>
  <si>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</si>
  <si>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</si>
  <si>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</si>
  <si>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</si>
  <si>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</si>
  <si>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</si>
  <si>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</si>
  <si>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</si>
  <si>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</si>
  <si>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</si>
  <si>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</si>
  <si>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</si>
  <si>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</si>
  <si>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</si>
  <si>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</si>
  <si>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</si>
  <si>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</si>
  <si>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</si>
  <si>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</si>
  <si>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</si>
  <si>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</si>
  <si>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</si>
  <si>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</si>
  <si>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</si>
  <si>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</si>
  <si>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</si>
  <si>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</si>
  <si>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</si>
  <si>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</si>
  <si>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</si>
  <si>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</si>
  <si>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</si>
  <si>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</si>
  <si>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</si>
  <si>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</si>
  <si>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</si>
  <si>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</si>
  <si>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</si>
  <si>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</si>
  <si>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</si>
  <si>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</si>
  <si>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</si>
  <si>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</si>
  <si>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</si>
  <si>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</si>
  <si>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</si>
  <si>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</si>
  <si>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</si>
  <si>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</si>
  <si>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</si>
  <si>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</si>
  <si>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</si>
  <si>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</si>
  <si>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</si>
  <si>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</si>
  <si>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</si>
  <si>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</si>
  <si>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</si>
  <si>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</si>
  <si>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1987 JAN</t>
  </si>
  <si>
    <t>1987 FEB</t>
  </si>
  <si>
    <t>1987 MAR</t>
  </si>
  <si>
    <t>1987 APR</t>
  </si>
  <si>
    <t>1987 MAY</t>
  </si>
  <si>
    <t>1987 JUN</t>
  </si>
  <si>
    <t>1987 JUL</t>
  </si>
  <si>
    <t>1987 AUG</t>
  </si>
  <si>
    <t>1987 SEP</t>
  </si>
  <si>
    <t>1987 OCT</t>
  </si>
  <si>
    <t>1987 NOV</t>
  </si>
  <si>
    <t>1987 DEC</t>
  </si>
  <si>
    <t>1988 JAN</t>
  </si>
  <si>
    <t>1988 FEB</t>
  </si>
  <si>
    <t>1988 MAR</t>
  </si>
  <si>
    <t>1988 APR</t>
  </si>
  <si>
    <t>1988 MAY</t>
  </si>
  <si>
    <t>1988 JUN</t>
  </si>
  <si>
    <t>1988 JUL</t>
  </si>
  <si>
    <t>1988 AUG</t>
  </si>
  <si>
    <t>1988 SEP</t>
  </si>
  <si>
    <t>1988 OCT</t>
  </si>
  <si>
    <t>1988 NOV</t>
  </si>
  <si>
    <t>1988 DEC</t>
  </si>
  <si>
    <t>1989 JAN</t>
  </si>
  <si>
    <t>1989 FEB</t>
  </si>
  <si>
    <t>1989 MAR</t>
  </si>
  <si>
    <t>1989 APR</t>
  </si>
  <si>
    <t>1989 MAY</t>
  </si>
  <si>
    <t>1989 JUN</t>
  </si>
  <si>
    <t>1989 JUL</t>
  </si>
  <si>
    <t>1989 AUG</t>
  </si>
  <si>
    <t>1989 SEP</t>
  </si>
  <si>
    <t>1989 OCT</t>
  </si>
  <si>
    <t>1989 NOV</t>
  </si>
  <si>
    <t>1989 DEC</t>
  </si>
  <si>
    <t>1990 JAN</t>
  </si>
  <si>
    <t>1990 FEB</t>
  </si>
  <si>
    <t>1990 MAR</t>
  </si>
  <si>
    <t>1990 APR</t>
  </si>
  <si>
    <t>1990 MAY</t>
  </si>
  <si>
    <t>1990 JUN</t>
  </si>
  <si>
    <t>1990 JUL</t>
  </si>
  <si>
    <t>1990 AUG</t>
  </si>
  <si>
    <t>1990 SEP</t>
  </si>
  <si>
    <t>1990 OCT</t>
  </si>
  <si>
    <t>1990 NOV</t>
  </si>
  <si>
    <t>1990 DEC</t>
  </si>
  <si>
    <t>1991 JAN</t>
  </si>
  <si>
    <t>1991 FEB</t>
  </si>
  <si>
    <t>1991 MAR</t>
  </si>
  <si>
    <t>1991 APR</t>
  </si>
  <si>
    <t>1991 MAY</t>
  </si>
  <si>
    <t>1991 JUN</t>
  </si>
  <si>
    <t>1991 JUL</t>
  </si>
  <si>
    <t>1991 AUG</t>
  </si>
  <si>
    <t>1991 SEP</t>
  </si>
  <si>
    <t>1991 OCT</t>
  </si>
  <si>
    <t>1991 NOV</t>
  </si>
  <si>
    <t>1991 DEC</t>
  </si>
  <si>
    <t>1992 JAN</t>
  </si>
  <si>
    <t>1992 FEB</t>
  </si>
  <si>
    <t>1992 MAR</t>
  </si>
  <si>
    <t>1992 APR</t>
  </si>
  <si>
    <t>1992 MAY</t>
  </si>
  <si>
    <t>1992 JUN</t>
  </si>
  <si>
    <t>1992 JUL</t>
  </si>
  <si>
    <t>1992 AUG</t>
  </si>
  <si>
    <t>1992 SEP</t>
  </si>
  <si>
    <t>1992 OCT</t>
  </si>
  <si>
    <t>1992 NOV</t>
  </si>
  <si>
    <t>1992 DEC</t>
  </si>
  <si>
    <t>1993 JAN</t>
  </si>
  <si>
    <t>1993 FEB</t>
  </si>
  <si>
    <t>1993 MAR</t>
  </si>
  <si>
    <t>1993 APR</t>
  </si>
  <si>
    <t>1993 MAY</t>
  </si>
  <si>
    <t>1993 JUN</t>
  </si>
  <si>
    <t>1993 JUL</t>
  </si>
  <si>
    <t>1993 AUG</t>
  </si>
  <si>
    <t>1993 SEP</t>
  </si>
  <si>
    <t>1993 OCT</t>
  </si>
  <si>
    <t>1993 NOV</t>
  </si>
  <si>
    <t>1993 DEC</t>
  </si>
  <si>
    <t>1994 JAN</t>
  </si>
  <si>
    <t>1994 FEB</t>
  </si>
  <si>
    <t>1994 MAR</t>
  </si>
  <si>
    <t>1994 APR</t>
  </si>
  <si>
    <t>1994 MAY</t>
  </si>
  <si>
    <t>1994 JUN</t>
  </si>
  <si>
    <t>1994 JUL</t>
  </si>
  <si>
    <t>1994 AUG</t>
  </si>
  <si>
    <t>1994 SEP</t>
  </si>
  <si>
    <t>1994 OCT</t>
  </si>
  <si>
    <t>1994 NOV</t>
  </si>
  <si>
    <t>1994 DEC</t>
  </si>
  <si>
    <t>1995 JAN</t>
  </si>
  <si>
    <t>1995 FEB</t>
  </si>
  <si>
    <t>1995 MAR</t>
  </si>
  <si>
    <t>1995 APR</t>
  </si>
  <si>
    <t>1995 MAY</t>
  </si>
  <si>
    <t>1995 JUN</t>
  </si>
  <si>
    <t>1995 JUL</t>
  </si>
  <si>
    <t>1995 AUG</t>
  </si>
  <si>
    <t>1995 SEP</t>
  </si>
  <si>
    <t>1995 OCT</t>
  </si>
  <si>
    <t>1995 NOV</t>
  </si>
  <si>
    <t>1995 DEC</t>
  </si>
  <si>
    <t>1996 JAN</t>
  </si>
  <si>
    <t>1996 FEB</t>
  </si>
  <si>
    <t>1996 MAR</t>
  </si>
  <si>
    <t>1996 APR</t>
  </si>
  <si>
    <t>1996 MAY</t>
  </si>
  <si>
    <t>1996 JUN</t>
  </si>
  <si>
    <t>1996 JUL</t>
  </si>
  <si>
    <t>1996 AUG</t>
  </si>
  <si>
    <t>1996 SEP</t>
  </si>
  <si>
    <t>1996 OCT</t>
  </si>
  <si>
    <t>1996 NOV</t>
  </si>
  <si>
    <t>1996 DEC</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</si>
  <si>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</si>
  <si>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</si>
  <si>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</si>
  <si>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</si>
  <si>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</si>
  <si>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</si>
  <si>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</si>
  <si>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</si>
  <si>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</si>
  <si>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</si>
  <si>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</si>
  <si>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</si>
  <si>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</si>
  <si>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</si>
  <si>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</si>
  <si>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</si>
  <si>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</si>
  <si>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</si>
  <si>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</si>
  <si>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</si>
  <si>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</si>
  <si>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</si>
  <si>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</si>
  <si>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</si>
  <si>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</si>
  <si>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</si>
  <si>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</si>
  <si>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</si>
  <si>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</si>
  <si>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</si>
  <si>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</si>
  <si>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</si>
  <si>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</si>
  <si>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</si>
  <si>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</si>
  <si>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</si>
  <si>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</si>
  <si>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</si>
  <si>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</si>
  <si>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</si>
  <si>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</si>
  <si>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</si>
  <si>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</si>
  <si>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</si>
  <si>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</si>
  <si>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</si>
  <si>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</si>
  <si>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</si>
  <si>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</si>
  <si>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</si>
  <si>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</si>
  <si>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</si>
  <si>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</si>
  <si>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</si>
  <si>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</si>
  <si>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</si>
  <si>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</si>
  <si>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</si>
  <si>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</si>
  <si>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</si>
  <si>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</si>
  <si>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</si>
  <si>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</si>
  <si>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</si>
  <si>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</si>
  <si>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</si>
  <si>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</si>
  <si>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</si>
  <si>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</si>
  <si>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</si>
  <si>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</si>
  <si>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</si>
  <si>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</si>
  <si>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</si>
  <si>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</si>
  <si>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</si>
  <si>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</si>
  <si>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</si>
  <si>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</si>
  <si>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</si>
  <si>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</si>
  <si>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</si>
  <si>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</si>
  <si>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</si>
  <si>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</si>
  <si>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</si>
  <si>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</si>
  <si>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</si>
  <si>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</si>
  <si>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</si>
  <si>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</si>
  <si>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</si>
  <si>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</si>
  <si>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</si>
  <si>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</si>
  <si>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</si>
  <si>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</si>
  <si>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</si>
  <si>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</si>
  <si>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</si>
  <si>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</si>
  <si>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</si>
  <si>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</si>
  <si>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</si>
  <si>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</si>
  <si>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</si>
  <si>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</si>
  <si>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</si>
  <si>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</si>
  <si>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</si>
  <si>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</si>
  <si>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</si>
  <si>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</si>
  <si>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</si>
  <si>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</si>
  <si>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</si>
  <si>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</si>
  <si>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</si>
  <si>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</si>
  <si>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</si>
  <si>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</si>
  <si>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</si>
  <si>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</si>
  <si>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</si>
  <si>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</si>
  <si>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</si>
  <si>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</si>
  <si>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</si>
  <si>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</si>
  <si>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</si>
  <si>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</si>
  <si>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</si>
  <si>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</si>
  <si>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</si>
  <si>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</si>
  <si>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</si>
  <si>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</si>
  <si>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</si>
  <si>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</si>
  <si>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</si>
  <si>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</si>
  <si>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</si>
  <si>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</si>
  <si>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</si>
  <si>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</si>
  <si>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</si>
  <si>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</si>
  <si>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</si>
  <si>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</si>
  <si>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</si>
  <si>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</si>
  <si>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</si>
  <si>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</si>
  <si>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</si>
  <si>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</si>
  <si>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</si>
  <si>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</si>
  <si>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</si>
  <si>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</si>
  <si>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</si>
  <si>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</si>
  <si>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</si>
  <si>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</si>
  <si>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</si>
  <si>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</si>
  <si>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</si>
  <si>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</si>
  <si>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</si>
  <si>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</si>
  <si>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</si>
  <si>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</si>
  <si>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</si>
  <si>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</si>
  <si>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</si>
  <si>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</si>
  <si>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</si>
  <si>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</si>
  <si>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</si>
  <si>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</si>
  <si>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</si>
  <si>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</si>
  <si>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</si>
  <si>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</si>
  <si>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</si>
  <si>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</si>
  <si>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</si>
  <si>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</si>
  <si>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</si>
  <si>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</si>
  <si>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</si>
  <si>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</si>
  <si>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</si>
  <si>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</si>
  <si>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</si>
  <si>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</si>
  <si>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</si>
  <si>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</si>
  <si>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</si>
  <si>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</si>
  <si>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</si>
  <si>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</si>
  <si>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</si>
  <si>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</si>
  <si>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</si>
  <si>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</si>
  <si>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</si>
  <si>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</si>
  <si>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</si>
  <si>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</si>
  <si>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</si>
  <si>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</si>
  <si>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</si>
  <si>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</si>
  <si>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</si>
  <si>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</si>
  <si>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</si>
  <si>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</si>
  <si>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</si>
  <si>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</si>
  <si>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</si>
  <si>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</si>
  <si>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</si>
  <si>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</si>
  <si>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</si>
  <si>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</si>
  <si>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</si>
  <si>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</si>
  <si>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</si>
  <si>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</si>
  <si>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</si>
  <si>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</si>
  <si>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</si>
  <si>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</si>
  <si>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</si>
  <si>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</si>
  <si>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</si>
  <si>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</si>
  <si>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</si>
  <si>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</si>
  <si>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</si>
  <si>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</si>
  <si>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</si>
  <si>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</si>
  <si>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</si>
  <si>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</si>
  <si>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</si>
  <si>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</si>
  <si>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</si>
  <si>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</si>
  <si>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</si>
  <si>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</si>
  <si>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</si>
  <si>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</si>
  <si>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</si>
  <si>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</si>
  <si>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</si>
  <si>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</si>
  <si>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</si>
  <si>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</si>
  <si>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</si>
  <si>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</si>
  <si>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</si>
  <si>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</si>
  <si>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</si>
  <si>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(Base for 9/10 inflation)</t>
  </si>
  <si>
    <t>18/19 Prices</t>
  </si>
  <si>
    <t>18/19 Unit Costs</t>
  </si>
  <si>
    <t>Conversion factor (mcmd to kWh) =</t>
  </si>
  <si>
    <r>
      <t>CV assumption (MJ/M</t>
    </r>
    <r>
      <rPr>
        <vertAlign val="superscript"/>
        <sz val="12"/>
        <rFont val="Arial"/>
        <family val="2"/>
      </rPr>
      <t>3</t>
    </r>
    <r>
      <rPr>
        <sz val="12"/>
        <rFont val="Arial"/>
        <family val="2"/>
      </rPr>
      <t>) =</t>
    </r>
  </si>
  <si>
    <t xml:space="preserve">50 km less 0 km </t>
  </si>
  <si>
    <t>LN functions</t>
  </si>
  <si>
    <t xml:space="preserve">from </t>
  </si>
  <si>
    <t>https://www.ons.gov.uk/economy/inflationandpriceindices/timeseries/chaw/mm23</t>
  </si>
  <si>
    <t>5) Annuitisation Factor</t>
  </si>
  <si>
    <t>1% of the pipeline capital costs is added to all the distance and flow rate combinations</t>
  </si>
  <si>
    <t>2.5% of the non-distance capital cost is added to all the distance and flow rate combinations</t>
  </si>
  <si>
    <t>AQ (GWh)</t>
  </si>
  <si>
    <t>SOQ (KWh/d)</t>
  </si>
  <si>
    <t>2019 JAN</t>
  </si>
  <si>
    <t>Inflation comparison</t>
  </si>
  <si>
    <t>RPI</t>
  </si>
  <si>
    <t>Base for 9/10 prices in RIIO-T1</t>
  </si>
  <si>
    <t>2018/19 average</t>
  </si>
  <si>
    <t>2009/10 to 2018/19</t>
  </si>
  <si>
    <t>(Base for 1998/9 inflation)</t>
  </si>
  <si>
    <t>1998/9 to 2009/10</t>
  </si>
  <si>
    <t>Original price base (1998/9 prices)</t>
  </si>
  <si>
    <t>2019 FEB</t>
  </si>
  <si>
    <t>2019 MAR</t>
  </si>
  <si>
    <t>(18/19 figure)</t>
  </si>
  <si>
    <t>JAN to FEB Inflation</t>
  </si>
  <si>
    <t>March data forecast on previous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</si>
</sst>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64" formatCode="&quot;£&quot;#,##0"/>
    <numFmt numFmtId="165" formatCode="0.000000000"/>
    <numFmt numFmtId="166" formatCode="&quot;£&quot;#,##0.00"/>
    <numFmt numFmtId="167" formatCode="0.00000"/>
    <numFmt numFmtId="168" formatCode="0.0000"/>
    <numFmt numFmtId="169" formatCode="0.0"/>
    <numFmt numFmtId="170" formatCode="#,##0.0"/>
    <numFmt numFmtId="171" formatCode="#,##0.000"/>
  </numFmts>
  <fonts count="14" x14ac:knownFonts="1">
    <font>
      <sz val="11"/>
      <color theme="1"/>
      <name val="Calibri"/>
      <family val="2"/>
      <scheme val="minor"/>
    </font>
    <font>
      <sz val="12"/>
      <name val="Arial"/>
      <family val="2"/>
    </font>
    <font>
      <b/>
      <sz val="12"/>
      <name val="Arial"/>
      <family val="2"/>
    </font>
    <font>
      <sz val="11"/>
      <name val="Arial"/>
      <family val="2"/>
    </font>
    <font>
      <sz val="28"/>
      <name val="Arial"/>
      <family val="2"/>
    </font>
    <font>
      <sz val="10"/>
      <name val="Arial"/>
      <family val="2"/>
    </font>
    <font>
      <sz val="10"/>
      <color rgb="FFFF0000"/>
      <name val="Arial"/>
      <family val="2"/>
    </font>
    <font>
      <u/>
      <sz val="11"/>
      <color theme="10"/>
      <name val="Calibri"/>
      <family val="2"/>
      <scheme val="minor"/>
    </font>
    <font>
      <vertAlign val="superscript"/>
      <sz val="12"/>
      <name val="Arial"/>
      <family val="2"/>
    </font>
    <font>
      <sz val="12"/>
      <color theme="0"/>
      <name val="Arial"/>
      <family val="2"/>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164" fontId="1" fillId="0" borderId="0"/>
    <xf numFmtId="0" fontId="5" fillId="0" borderId="0"/>
    <xf numFmtId="0" fontId="7" fillId="0" borderId="0" applyNumberFormat="0" applyFill="0" applyBorder="0" applyAlignment="0" applyProtection="0"/>
    <xf numFmtId="9" fontId="10" fillId="0" borderId="0" applyFont="0" applyFill="0" applyBorder="0" applyAlignment="0" applyProtection="0"/>
    <xf numFmtId="0" fontId="12" fillId="0" borderId="0"/>
  </cellStyleXfs>
  <cellXfs count="188">
    <xf numFmtId="0" fontId="0" fillId="0" borderId="0" xfId="0"/>
    <xf numFmtId="0" fontId="2" fillId="0" borderId="0" xfId="1" applyNumberFormat="1" applyFont="1" applyFill="1" applyBorder="1" applyAlignment="1">
      <alignment horizontal="left"/>
    </xf>
    <xf numFmtId="0" fontId="1" fillId="0" borderId="0" xfId="1" applyNumberFormat="1" applyFont="1" applyFill="1" applyBorder="1" applyAlignment="1" applyProtection="1">
      <alignment horizontal="left"/>
      <protection locked="0"/>
    </xf>
    <xf numFmtId="0" fontId="2" fillId="0" borderId="0" xfId="1" applyNumberFormat="1" applyFont="1" applyFill="1" applyBorder="1" applyAlignment="1">
      <alignment horizontal="center"/>
    </xf>
    <xf numFmtId="0" fontId="1" fillId="0" borderId="0" xfId="1" applyNumberFormat="1" applyFont="1" applyFill="1" applyBorder="1" applyAlignment="1" applyProtection="1">
      <alignment horizontal="center"/>
      <protection locked="0"/>
    </xf>
    <xf numFmtId="0" fontId="2" fillId="2" borderId="0" xfId="1" applyNumberFormat="1" applyFont="1" applyFill="1" applyBorder="1" applyAlignment="1">
      <alignment horizontal="center"/>
    </xf>
    <xf numFmtId="3" fontId="1" fillId="2" borderId="0" xfId="1" applyNumberFormat="1" applyFill="1" applyBorder="1" applyAlignment="1">
      <alignment horizontal="center"/>
    </xf>
    <xf numFmtId="1" fontId="1" fillId="2" borderId="0" xfId="1" applyNumberFormat="1" applyFont="1" applyFill="1" applyBorder="1" applyAlignment="1">
      <alignment horizontal="center"/>
    </xf>
    <xf numFmtId="1" fontId="1" fillId="0" borderId="0" xfId="1" applyNumberFormat="1" applyFont="1" applyFill="1" applyBorder="1" applyAlignment="1">
      <alignment horizontal="center"/>
    </xf>
    <xf numFmtId="3" fontId="1" fillId="0" borderId="0" xfId="1" applyNumberFormat="1" applyFill="1" applyBorder="1" applyAlignment="1">
      <alignment horizontal="center"/>
    </xf>
    <xf numFmtId="1" fontId="1" fillId="0" borderId="0" xfId="1" applyNumberFormat="1" applyFont="1" applyFill="1" applyBorder="1" applyAlignment="1" applyProtection="1">
      <alignment horizontal="center"/>
      <protection locked="0"/>
    </xf>
    <xf numFmtId="0" fontId="1" fillId="0" borderId="0" xfId="1" applyNumberFormat="1" applyFont="1" applyFill="1" applyBorder="1" applyAlignment="1">
      <alignment horizontal="center"/>
    </xf>
    <xf numFmtId="0" fontId="1" fillId="0" borderId="0" xfId="1" applyNumberFormat="1" applyFill="1" applyBorder="1" applyAlignment="1">
      <alignment horizontal="center"/>
    </xf>
    <xf numFmtId="4" fontId="1" fillId="0" borderId="0" xfId="1" applyNumberFormat="1" applyFont="1" applyFill="1" applyBorder="1" applyAlignment="1">
      <alignment horizontal="center"/>
    </xf>
    <xf numFmtId="0" fontId="1" fillId="0" borderId="1" xfId="1" applyNumberFormat="1" applyFont="1" applyFill="1" applyBorder="1" applyAlignment="1" applyProtection="1">
      <alignment horizontal="left"/>
      <protection locked="0"/>
    </xf>
    <xf numFmtId="3" fontId="1" fillId="0" borderId="1" xfId="1" applyNumberFormat="1" applyFill="1" applyBorder="1" applyAlignment="1">
      <alignment horizontal="left"/>
    </xf>
    <xf numFmtId="0" fontId="2" fillId="0" borderId="1" xfId="1" applyNumberFormat="1" applyFont="1" applyFill="1" applyBorder="1" applyAlignment="1" applyProtection="1">
      <alignment horizontal="center"/>
      <protection locked="0"/>
    </xf>
    <xf numFmtId="0" fontId="2" fillId="0" borderId="1" xfId="1" applyNumberFormat="1" applyFont="1" applyFill="1" applyBorder="1" applyAlignment="1"/>
    <xf numFmtId="0" fontId="1" fillId="0" borderId="0" xfId="1" applyNumberFormat="1" applyFont="1" applyFill="1" applyBorder="1" applyAlignment="1">
      <alignment horizontal="left"/>
    </xf>
    <xf numFmtId="4" fontId="1" fillId="0" borderId="0" xfId="1" applyNumberFormat="1" applyFont="1" applyFill="1" applyBorder="1" applyAlignment="1">
      <alignment horizontal="left"/>
    </xf>
    <xf numFmtId="0" fontId="1" fillId="0" borderId="0" xfId="1" applyNumberFormat="1" applyFill="1" applyBorder="1" applyAlignment="1">
      <alignment horizontal="left"/>
    </xf>
    <xf numFmtId="3" fontId="1" fillId="0" borderId="1" xfId="1" applyNumberFormat="1" applyFill="1" applyBorder="1" applyAlignment="1">
      <alignment horizontal="center"/>
    </xf>
    <xf numFmtId="16" fontId="2" fillId="0" borderId="1" xfId="1" applyNumberFormat="1" applyFont="1" applyFill="1" applyBorder="1" applyAlignment="1" applyProtection="1">
      <alignment horizontal="center"/>
      <protection locked="0"/>
    </xf>
    <xf numFmtId="0" fontId="2" fillId="0" borderId="1" xfId="1" applyNumberFormat="1" applyFont="1" applyFill="1" applyBorder="1" applyAlignment="1">
      <alignment horizontal="center"/>
    </xf>
    <xf numFmtId="165" fontId="1" fillId="0" borderId="1" xfId="1" applyNumberFormat="1" applyFont="1" applyFill="1" applyBorder="1" applyAlignment="1" applyProtection="1">
      <alignment horizontal="center"/>
      <protection locked="0"/>
    </xf>
    <xf numFmtId="0" fontId="1" fillId="0" borderId="1" xfId="1" applyNumberFormat="1" applyFont="1" applyFill="1" applyBorder="1" applyAlignment="1" applyProtection="1">
      <alignment horizontal="center"/>
      <protection locked="0"/>
    </xf>
    <xf numFmtId="3" fontId="1" fillId="0" borderId="0" xfId="1" applyNumberFormat="1" applyFont="1" applyFill="1" applyBorder="1" applyAlignment="1" applyProtection="1">
      <alignment horizontal="center"/>
      <protection locked="0"/>
    </xf>
    <xf numFmtId="3" fontId="1" fillId="2" borderId="0" xfId="1" applyNumberFormat="1" applyFont="1" applyFill="1" applyBorder="1" applyAlignment="1" applyProtection="1">
      <alignment horizontal="center"/>
      <protection locked="0"/>
    </xf>
    <xf numFmtId="0" fontId="2" fillId="0" borderId="1" xfId="1" applyNumberFormat="1" applyFont="1" applyFill="1" applyBorder="1" applyAlignment="1" applyProtection="1">
      <alignment horizontal="center" wrapText="1"/>
      <protection locked="0"/>
    </xf>
    <xf numFmtId="0" fontId="2" fillId="2" borderId="1" xfId="1" applyNumberFormat="1" applyFont="1" applyFill="1" applyBorder="1" applyAlignment="1">
      <alignment horizontal="center"/>
    </xf>
    <xf numFmtId="3" fontId="1" fillId="0" borderId="2" xfId="1" applyNumberFormat="1" applyFont="1" applyFill="1" applyBorder="1" applyAlignment="1" applyProtection="1">
      <alignment horizontal="center"/>
      <protection locked="0"/>
    </xf>
    <xf numFmtId="2" fontId="1" fillId="0" borderId="2" xfId="1" applyNumberFormat="1" applyFont="1" applyFill="1" applyBorder="1" applyAlignment="1" applyProtection="1">
      <alignment horizontal="center"/>
      <protection locked="0"/>
    </xf>
    <xf numFmtId="2" fontId="1" fillId="0" borderId="1" xfId="1" applyNumberFormat="1" applyFont="1" applyFill="1" applyBorder="1" applyAlignment="1" applyProtection="1">
      <alignment horizontal="center"/>
      <protection locked="0"/>
    </xf>
    <xf numFmtId="164" fontId="1" fillId="0" borderId="0" xfId="1" applyNumberFormat="1" applyFont="1" applyFill="1" applyBorder="1" applyAlignment="1" applyProtection="1">
      <alignment horizontal="center"/>
      <protection locked="0"/>
    </xf>
    <xf numFmtId="166" fontId="1" fillId="0"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left"/>
      <protection locked="0"/>
    </xf>
    <xf numFmtId="0" fontId="2" fillId="0" borderId="0" xfId="1" applyNumberFormat="1" applyFont="1" applyFill="1" applyBorder="1" applyAlignment="1" applyProtection="1">
      <alignment horizontal="center"/>
      <protection locked="0"/>
    </xf>
    <xf numFmtId="0" fontId="1" fillId="2" borderId="0" xfId="1" applyNumberFormat="1" applyFont="1" applyFill="1" applyBorder="1" applyAlignment="1">
      <alignment horizontal="center"/>
    </xf>
    <xf numFmtId="3" fontId="1" fillId="2" borderId="0" xfId="1" applyNumberFormat="1" applyFont="1" applyFill="1" applyBorder="1" applyAlignment="1">
      <alignment horizontal="center"/>
    </xf>
    <xf numFmtId="3" fontId="2" fillId="2" borderId="0" xfId="1" applyNumberFormat="1" applyFont="1" applyFill="1" applyBorder="1" applyAlignment="1">
      <alignment horizontal="center"/>
    </xf>
    <xf numFmtId="3" fontId="1" fillId="0" borderId="0" xfId="1" applyNumberFormat="1" applyFont="1" applyFill="1" applyBorder="1" applyAlignment="1">
      <alignment horizontal="center"/>
    </xf>
    <xf numFmtId="3" fontId="2" fillId="0" borderId="0" xfId="1" applyNumberFormat="1" applyFont="1" applyFill="1" applyBorder="1" applyAlignment="1">
      <alignment horizontal="center"/>
    </xf>
    <xf numFmtId="16" fontId="2" fillId="0" borderId="1" xfId="1" applyNumberFormat="1" applyFont="1" applyFill="1" applyBorder="1" applyAlignment="1" applyProtection="1">
      <alignment horizontal="left"/>
      <protection locked="0"/>
    </xf>
    <xf numFmtId="0" fontId="2" fillId="0" borderId="1" xfId="1" applyNumberFormat="1" applyFont="1" applyFill="1" applyBorder="1" applyAlignment="1" applyProtection="1">
      <alignment horizontal="left"/>
      <protection locked="0"/>
    </xf>
    <xf numFmtId="165" fontId="2" fillId="0" borderId="1" xfId="1" applyNumberFormat="1" applyFont="1" applyFill="1" applyBorder="1" applyAlignment="1" applyProtection="1">
      <alignment horizontal="center"/>
      <protection locked="0"/>
    </xf>
    <xf numFmtId="3" fontId="3" fillId="0" borderId="1" xfId="1" applyNumberFormat="1" applyFont="1" applyBorder="1" applyAlignment="1">
      <alignment horizontal="center"/>
    </xf>
    <xf numFmtId="3" fontId="1" fillId="0" borderId="1" xfId="1" applyNumberFormat="1" applyFont="1" applyFill="1" applyBorder="1" applyAlignment="1" applyProtection="1">
      <alignment horizontal="center"/>
      <protection locked="0"/>
    </xf>
    <xf numFmtId="3" fontId="3" fillId="0" borderId="0" xfId="1" applyNumberFormat="1" applyFont="1" applyBorder="1" applyAlignment="1">
      <alignment horizontal="center"/>
    </xf>
    <xf numFmtId="3" fontId="1" fillId="0" borderId="0" xfId="1" applyNumberFormat="1" applyFill="1" applyBorder="1" applyAlignment="1">
      <alignment horizontal="left"/>
    </xf>
    <xf numFmtId="3" fontId="1" fillId="0" borderId="0" xfId="1" applyNumberFormat="1" applyFont="1" applyFill="1" applyBorder="1" applyAlignment="1">
      <alignment horizontal="left"/>
    </xf>
    <xf numFmtId="164" fontId="1" fillId="2" borderId="0" xfId="1" applyFont="1" applyFill="1" applyBorder="1" applyAlignment="1">
      <alignment horizontal="center"/>
    </xf>
    <xf numFmtId="164" fontId="1" fillId="2" borderId="0" xfId="1" applyNumberFormat="1" applyFont="1" applyFill="1" applyBorder="1" applyAlignment="1">
      <alignment horizontal="center"/>
    </xf>
    <xf numFmtId="164" fontId="1" fillId="0" borderId="0" xfId="1" applyFont="1" applyFill="1" applyBorder="1" applyAlignment="1">
      <alignment horizontal="center"/>
    </xf>
    <xf numFmtId="164" fontId="1" fillId="0" borderId="0"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Font="1" applyFill="1" applyBorder="1" applyAlignment="1">
      <alignment horizontal="center"/>
    </xf>
    <xf numFmtId="164" fontId="2" fillId="0" borderId="0" xfId="1" applyFont="1" applyFill="1" applyBorder="1" applyAlignment="1"/>
    <xf numFmtId="164" fontId="1" fillId="0" borderId="5" xfId="1" applyFont="1" applyFill="1" applyBorder="1" applyAlignment="1">
      <alignment horizontal="center"/>
    </xf>
    <xf numFmtId="164" fontId="1" fillId="0" borderId="6" xfId="1" applyFont="1" applyFill="1" applyBorder="1" applyAlignment="1">
      <alignment horizontal="center"/>
    </xf>
    <xf numFmtId="164" fontId="1" fillId="0" borderId="7" xfId="1" applyFont="1" applyFill="1" applyBorder="1" applyAlignment="1">
      <alignment horizontal="center"/>
    </xf>
    <xf numFmtId="0" fontId="1" fillId="0" borderId="8" xfId="1" applyNumberFormat="1" applyFont="1" applyFill="1" applyBorder="1" applyAlignment="1">
      <alignment horizontal="left"/>
    </xf>
    <xf numFmtId="164" fontId="1" fillId="0" borderId="9" xfId="1" applyFont="1" applyFill="1" applyBorder="1" applyAlignment="1">
      <alignment horizontal="center"/>
    </xf>
    <xf numFmtId="0" fontId="1" fillId="0" borderId="8" xfId="1" applyNumberFormat="1" applyFont="1" applyFill="1" applyBorder="1" applyAlignment="1" applyProtection="1">
      <alignment horizontal="center"/>
      <protection locked="0"/>
    </xf>
    <xf numFmtId="0" fontId="1" fillId="0" borderId="9" xfId="1" applyNumberFormat="1" applyFont="1" applyFill="1" applyBorder="1" applyAlignment="1" applyProtection="1">
      <alignment horizontal="center"/>
      <protection locked="0"/>
    </xf>
    <xf numFmtId="0" fontId="1" fillId="0" borderId="0" xfId="1" applyNumberFormat="1" applyFont="1" applyFill="1" applyBorder="1" applyAlignment="1" applyProtection="1">
      <protection locked="0"/>
    </xf>
    <xf numFmtId="164" fontId="1" fillId="0" borderId="10" xfId="1" applyFont="1" applyFill="1" applyBorder="1" applyAlignment="1">
      <alignment horizontal="center"/>
    </xf>
    <xf numFmtId="164" fontId="1" fillId="0" borderId="11" xfId="1" applyFont="1" applyFill="1" applyBorder="1" applyAlignment="1">
      <alignment horizontal="center"/>
    </xf>
    <xf numFmtId="164" fontId="1" fillId="0" borderId="12" xfId="1" applyFont="1" applyFill="1" applyBorder="1" applyAlignment="1">
      <alignment horizontal="center"/>
    </xf>
    <xf numFmtId="0" fontId="2" fillId="0" borderId="5" xfId="1" applyNumberFormat="1" applyFont="1" applyFill="1" applyBorder="1" applyAlignment="1">
      <alignment horizontal="center"/>
    </xf>
    <xf numFmtId="0" fontId="2" fillId="0" borderId="6" xfId="1" applyNumberFormat="1" applyFont="1" applyFill="1" applyBorder="1" applyAlignment="1">
      <alignment horizontal="center"/>
    </xf>
    <xf numFmtId="0" fontId="2" fillId="0" borderId="6" xfId="1" applyNumberFormat="1" applyFont="1" applyFill="1" applyBorder="1" applyAlignment="1"/>
    <xf numFmtId="0" fontId="1" fillId="0" borderId="6" xfId="1" applyNumberFormat="1" applyFill="1" applyBorder="1" applyAlignment="1">
      <alignment horizontal="center"/>
    </xf>
    <xf numFmtId="0" fontId="1" fillId="0" borderId="7" xfId="1" applyNumberFormat="1" applyFill="1" applyBorder="1" applyAlignment="1">
      <alignment horizontal="center"/>
    </xf>
    <xf numFmtId="0" fontId="2" fillId="2" borderId="8" xfId="1" applyNumberFormat="1" applyFont="1" applyFill="1" applyBorder="1" applyAlignment="1">
      <alignment horizontal="center"/>
    </xf>
    <xf numFmtId="1" fontId="1" fillId="2" borderId="0" xfId="1" applyNumberFormat="1" applyFont="1" applyFill="1" applyBorder="1" applyAlignment="1" applyProtection="1">
      <alignment horizontal="center"/>
      <protection locked="0"/>
    </xf>
    <xf numFmtId="1" fontId="1" fillId="2" borderId="0" xfId="1" applyNumberFormat="1" applyFill="1" applyBorder="1" applyAlignment="1">
      <alignment horizontal="center"/>
    </xf>
    <xf numFmtId="0" fontId="1" fillId="0" borderId="9" xfId="1" applyNumberFormat="1" applyFill="1" applyBorder="1" applyAlignment="1">
      <alignment horizontal="center"/>
    </xf>
    <xf numFmtId="0" fontId="2" fillId="0" borderId="8" xfId="1" applyNumberFormat="1" applyFont="1" applyFill="1" applyBorder="1" applyAlignment="1">
      <alignment horizontal="center"/>
    </xf>
    <xf numFmtId="1" fontId="1" fillId="0" borderId="0" xfId="1" applyNumberFormat="1" applyFill="1" applyBorder="1" applyAlignment="1">
      <alignment horizontal="center"/>
    </xf>
    <xf numFmtId="6" fontId="1" fillId="0" borderId="0" xfId="1" applyNumberFormat="1" applyFont="1" applyFill="1" applyBorder="1" applyAlignment="1" applyProtection="1">
      <alignment horizontal="left"/>
      <protection locked="0"/>
    </xf>
    <xf numFmtId="6" fontId="1" fillId="0" borderId="0" xfId="1" applyNumberFormat="1" applyFont="1" applyFill="1" applyBorder="1" applyAlignment="1" applyProtection="1">
      <protection locked="0"/>
    </xf>
    <xf numFmtId="9" fontId="1" fillId="0" borderId="9" xfId="1" applyNumberFormat="1" applyFill="1" applyBorder="1" applyAlignment="1">
      <alignment horizontal="center"/>
    </xf>
    <xf numFmtId="0" fontId="2" fillId="0" borderId="10" xfId="1" applyNumberFormat="1" applyFont="1" applyFill="1" applyBorder="1" applyAlignment="1">
      <alignment horizontal="center"/>
    </xf>
    <xf numFmtId="3" fontId="1" fillId="0" borderId="11" xfId="1" applyNumberFormat="1" applyFill="1" applyBorder="1" applyAlignment="1">
      <alignment horizontal="center"/>
    </xf>
    <xf numFmtId="1" fontId="1" fillId="0" borderId="11" xfId="1" applyNumberFormat="1" applyFont="1" applyFill="1" applyBorder="1" applyAlignment="1" applyProtection="1">
      <alignment horizontal="center"/>
      <protection locked="0"/>
    </xf>
    <xf numFmtId="1" fontId="1" fillId="0" borderId="11" xfId="1" applyNumberFormat="1" applyFill="1" applyBorder="1" applyAlignment="1">
      <alignment horizontal="center"/>
    </xf>
    <xf numFmtId="0" fontId="1" fillId="0" borderId="11" xfId="1" applyNumberFormat="1" applyFont="1" applyFill="1" applyBorder="1" applyAlignment="1" applyProtection="1">
      <alignment horizontal="center"/>
      <protection locked="0"/>
    </xf>
    <xf numFmtId="0" fontId="1" fillId="0" borderId="12" xfId="1" applyNumberFormat="1" applyFont="1" applyFill="1" applyBorder="1" applyAlignment="1" applyProtection="1">
      <alignment horizontal="center"/>
      <protection locked="0"/>
    </xf>
    <xf numFmtId="167" fontId="1" fillId="2" borderId="0" xfId="1" applyNumberFormat="1" applyFill="1" applyBorder="1" applyAlignment="1">
      <alignment horizontal="center"/>
    </xf>
    <xf numFmtId="167" fontId="1" fillId="0" borderId="0" xfId="1" applyNumberFormat="1" applyFill="1" applyBorder="1" applyAlignment="1">
      <alignment horizontal="center"/>
    </xf>
    <xf numFmtId="168" fontId="1" fillId="0" borderId="0" xfId="1" applyNumberFormat="1" applyFill="1" applyBorder="1" applyAlignment="1">
      <alignment horizontal="center"/>
    </xf>
    <xf numFmtId="168" fontId="1" fillId="0" borderId="0" xfId="1" applyNumberFormat="1" applyFont="1" applyFill="1" applyBorder="1" applyAlignment="1">
      <alignment horizontal="center"/>
    </xf>
    <xf numFmtId="3" fontId="1" fillId="0" borderId="0" xfId="1" applyNumberFormat="1" applyFont="1" applyFill="1" applyBorder="1"/>
    <xf numFmtId="3" fontId="1" fillId="0" borderId="0" xfId="1" applyNumberFormat="1" applyFont="1" applyFill="1"/>
    <xf numFmtId="2" fontId="1" fillId="0" borderId="0" xfId="1" applyNumberFormat="1" applyFont="1" applyFill="1"/>
    <xf numFmtId="0" fontId="1" fillId="0" borderId="0" xfId="1" applyNumberFormat="1" applyFont="1" applyFill="1" applyAlignment="1" applyProtection="1">
      <protection locked="0"/>
    </xf>
    <xf numFmtId="0" fontId="1" fillId="0" borderId="0" xfId="0" applyFont="1" applyFill="1" applyAlignment="1"/>
    <xf numFmtId="0" fontId="1" fillId="0" borderId="0" xfId="0" applyFont="1" applyAlignment="1"/>
    <xf numFmtId="0" fontId="2" fillId="0" borderId="0" xfId="1" applyNumberFormat="1" applyFont="1" applyFill="1" applyAlignment="1" applyProtection="1">
      <alignment horizontal="center"/>
      <protection locked="0"/>
    </xf>
    <xf numFmtId="0" fontId="2" fillId="3" borderId="0" xfId="0" applyFont="1" applyFill="1" applyAlignment="1"/>
    <xf numFmtId="0" fontId="1" fillId="3" borderId="0" xfId="0" applyFont="1" applyFill="1" applyAlignment="1"/>
    <xf numFmtId="2" fontId="2" fillId="3" borderId="0" xfId="0" applyNumberFormat="1" applyFont="1" applyFill="1" applyAlignment="1"/>
    <xf numFmtId="0" fontId="1" fillId="3" borderId="0" xfId="0" applyFont="1" applyFill="1" applyBorder="1" applyAlignment="1"/>
    <xf numFmtId="0" fontId="2" fillId="3" borderId="0" xfId="0" applyFont="1" applyFill="1" applyBorder="1" applyAlignment="1"/>
    <xf numFmtId="0" fontId="2" fillId="3" borderId="13" xfId="1" applyNumberFormat="1" applyFont="1" applyFill="1" applyBorder="1" applyAlignment="1"/>
    <xf numFmtId="0" fontId="2" fillId="3" borderId="14" xfId="1" applyNumberFormat="1" applyFont="1" applyFill="1" applyBorder="1" applyAlignment="1"/>
    <xf numFmtId="3" fontId="1" fillId="3" borderId="0" xfId="1" applyNumberFormat="1" applyFont="1" applyFill="1"/>
    <xf numFmtId="2" fontId="1" fillId="3" borderId="0" xfId="1" applyNumberFormat="1" applyFont="1" applyFill="1"/>
    <xf numFmtId="0" fontId="1" fillId="3" borderId="0" xfId="1" applyNumberFormat="1" applyFont="1" applyFill="1" applyAlignment="1" applyProtection="1">
      <protection locked="0"/>
    </xf>
    <xf numFmtId="0" fontId="1" fillId="3" borderId="0" xfId="0" applyFont="1" applyFill="1" applyAlignment="1">
      <alignment horizontal="left"/>
    </xf>
    <xf numFmtId="0" fontId="1" fillId="0" borderId="14" xfId="1" applyNumberFormat="1" applyFont="1" applyFill="1" applyBorder="1" applyAlignment="1" applyProtection="1">
      <alignment horizontal="center"/>
      <protection locked="0"/>
    </xf>
    <xf numFmtId="3" fontId="1" fillId="3" borderId="14" xfId="1" applyNumberFormat="1" applyFont="1" applyFill="1" applyBorder="1"/>
    <xf numFmtId="0" fontId="1" fillId="2" borderId="14" xfId="1" applyNumberFormat="1" applyFont="1" applyFill="1" applyBorder="1" applyAlignment="1"/>
    <xf numFmtId="167" fontId="1" fillId="2" borderId="14" xfId="1" applyNumberFormat="1" applyFont="1" applyFill="1" applyBorder="1"/>
    <xf numFmtId="0" fontId="1" fillId="3" borderId="14" xfId="1" applyNumberFormat="1" applyFont="1" applyFill="1" applyBorder="1" applyAlignment="1"/>
    <xf numFmtId="167" fontId="1" fillId="3" borderId="14" xfId="1" applyNumberFormat="1" applyFont="1" applyFill="1" applyBorder="1"/>
    <xf numFmtId="0" fontId="1" fillId="3" borderId="0" xfId="0" applyFont="1" applyFill="1" applyBorder="1"/>
    <xf numFmtId="0" fontId="1" fillId="3" borderId="0" xfId="0" applyFont="1" applyFill="1" applyBorder="1" applyAlignment="1">
      <alignment horizontal="right"/>
    </xf>
    <xf numFmtId="0" fontId="1" fillId="3" borderId="0" xfId="1" applyNumberFormat="1" applyFont="1" applyFill="1" applyBorder="1" applyAlignment="1" applyProtection="1">
      <protection locked="0"/>
    </xf>
    <xf numFmtId="0" fontId="2" fillId="3" borderId="0" xfId="1" applyNumberFormat="1" applyFont="1" applyFill="1" applyBorder="1" applyAlignment="1" applyProtection="1">
      <alignment horizontal="center"/>
      <protection locked="0"/>
    </xf>
    <xf numFmtId="0" fontId="2" fillId="3" borderId="0" xfId="1" applyNumberFormat="1" applyFont="1" applyFill="1" applyAlignment="1" applyProtection="1">
      <alignment horizontal="center"/>
      <protection locked="0"/>
    </xf>
    <xf numFmtId="0" fontId="2" fillId="3" borderId="0" xfId="1" applyNumberFormat="1" applyFont="1" applyFill="1" applyAlignment="1">
      <alignment horizontal="center"/>
    </xf>
    <xf numFmtId="0" fontId="1" fillId="0" borderId="16" xfId="1" applyNumberFormat="1" applyFont="1" applyFill="1" applyBorder="1" applyAlignment="1" applyProtection="1">
      <alignment horizontal="center"/>
      <protection locked="0"/>
    </xf>
    <xf numFmtId="0" fontId="2" fillId="3" borderId="0" xfId="1" applyNumberFormat="1" applyFont="1" applyFill="1" applyBorder="1" applyAlignment="1" applyProtection="1">
      <alignment horizontal="left"/>
      <protection locked="0"/>
    </xf>
    <xf numFmtId="1" fontId="1" fillId="3" borderId="15" xfId="0" applyNumberFormat="1" applyFont="1" applyFill="1" applyBorder="1" applyAlignment="1"/>
    <xf numFmtId="0" fontId="1" fillId="3" borderId="16" xfId="0" applyFont="1" applyFill="1" applyBorder="1" applyAlignment="1"/>
    <xf numFmtId="2" fontId="1" fillId="3" borderId="0" xfId="0" applyNumberFormat="1" applyFont="1" applyFill="1" applyAlignment="1"/>
    <xf numFmtId="0" fontId="2" fillId="0" borderId="0" xfId="0" applyFont="1" applyFill="1" applyAlignment="1"/>
    <xf numFmtId="2" fontId="2" fillId="0" borderId="0" xfId="0" applyNumberFormat="1" applyFont="1" applyFill="1" applyAlignment="1"/>
    <xf numFmtId="0" fontId="2" fillId="0" borderId="0" xfId="0" applyFont="1" applyFill="1" applyBorder="1"/>
    <xf numFmtId="0" fontId="2" fillId="0" borderId="13" xfId="1" applyNumberFormat="1" applyFont="1" applyFill="1" applyBorder="1" applyAlignment="1"/>
    <xf numFmtId="0" fontId="2" fillId="0" borderId="14" xfId="1" applyNumberFormat="1" applyFont="1" applyFill="1" applyBorder="1" applyAlignment="1"/>
    <xf numFmtId="0" fontId="1" fillId="0" borderId="0" xfId="0" applyFont="1" applyFill="1" applyBorder="1" applyAlignment="1"/>
    <xf numFmtId="3" fontId="1" fillId="0" borderId="14" xfId="1" applyNumberFormat="1" applyFont="1" applyFill="1" applyBorder="1"/>
    <xf numFmtId="167" fontId="1" fillId="0" borderId="14" xfId="1" applyNumberFormat="1" applyFont="1" applyFill="1" applyBorder="1"/>
    <xf numFmtId="0" fontId="2" fillId="0" borderId="0" xfId="0" applyFont="1" applyFill="1" applyBorder="1" applyAlignment="1"/>
    <xf numFmtId="0" fontId="1" fillId="0" borderId="0" xfId="0" applyFont="1" applyFill="1" applyBorder="1"/>
    <xf numFmtId="0" fontId="1" fillId="0" borderId="0" xfId="0" applyFont="1" applyFill="1" applyBorder="1" applyAlignment="1">
      <alignment horizontal="right"/>
    </xf>
    <xf numFmtId="0" fontId="1" fillId="0" borderId="0" xfId="1" applyNumberFormat="1" applyFont="1" applyFill="1" applyAlignment="1"/>
    <xf numFmtId="167" fontId="1" fillId="0" borderId="0" xfId="1" applyNumberFormat="1" applyFont="1" applyFill="1"/>
    <xf numFmtId="3" fontId="1" fillId="0" borderId="5" xfId="1" applyNumberFormat="1" applyFont="1" applyFill="1" applyBorder="1"/>
    <xf numFmtId="0" fontId="1" fillId="0" borderId="6" xfId="0" applyFont="1" applyFill="1" applyBorder="1" applyAlignment="1"/>
    <xf numFmtId="0" fontId="1" fillId="0" borderId="7" xfId="0" applyFont="1" applyFill="1" applyBorder="1" applyAlignment="1"/>
    <xf numFmtId="3" fontId="1" fillId="0" borderId="8" xfId="1" applyNumberFormat="1" applyFont="1" applyFill="1" applyBorder="1"/>
    <xf numFmtId="0" fontId="1" fillId="0" borderId="9" xfId="0" applyFont="1" applyFill="1" applyBorder="1" applyAlignment="1"/>
    <xf numFmtId="0" fontId="4" fillId="0" borderId="0" xfId="0" applyFont="1" applyFill="1" applyBorder="1" applyAlignment="1">
      <alignment horizontal="left"/>
    </xf>
    <xf numFmtId="0" fontId="4" fillId="0" borderId="0" xfId="0" applyFont="1" applyFill="1" applyBorder="1" applyAlignment="1"/>
    <xf numFmtId="0" fontId="1" fillId="0" borderId="10" xfId="1" applyNumberFormat="1" applyFont="1" applyFill="1" applyBorder="1" applyAlignment="1" applyProtection="1">
      <alignment horizontal="center"/>
      <protection locked="0"/>
    </xf>
    <xf numFmtId="0" fontId="1" fillId="0" borderId="11" xfId="0" applyFont="1" applyFill="1" applyBorder="1" applyAlignment="1"/>
    <xf numFmtId="16" fontId="2" fillId="0" borderId="0" xfId="1" applyNumberFormat="1" applyFont="1" applyFill="1" applyBorder="1" applyAlignment="1" applyProtection="1">
      <alignment horizontal="left"/>
      <protection locked="0"/>
    </xf>
    <xf numFmtId="165" fontId="1" fillId="0" borderId="0" xfId="1" applyNumberFormat="1" applyFont="1" applyFill="1" applyBorder="1" applyAlignment="1" applyProtection="1">
      <alignment horizontal="center"/>
      <protection locked="0"/>
    </xf>
    <xf numFmtId="0" fontId="5" fillId="0" borderId="0" xfId="2"/>
    <xf numFmtId="169" fontId="5" fillId="0" borderId="0" xfId="2" applyNumberFormat="1"/>
    <xf numFmtId="169" fontId="0" fillId="0" borderId="0" xfId="0" applyNumberFormat="1"/>
    <xf numFmtId="0" fontId="6" fillId="0" borderId="0" xfId="2" applyFont="1"/>
    <xf numFmtId="169" fontId="6" fillId="0" borderId="0" xfId="2" applyNumberFormat="1" applyFont="1"/>
    <xf numFmtId="2" fontId="9" fillId="3" borderId="0" xfId="0" applyNumberFormat="1" applyFont="1" applyFill="1" applyAlignment="1"/>
    <xf numFmtId="2" fontId="1" fillId="0" borderId="16" xfId="1" applyNumberFormat="1" applyFont="1" applyFill="1" applyBorder="1" applyAlignment="1" applyProtection="1">
      <alignment horizontal="center"/>
      <protection locked="0"/>
    </xf>
    <xf numFmtId="2" fontId="1" fillId="0" borderId="15" xfId="0" applyNumberFormat="1" applyFont="1" applyFill="1" applyBorder="1" applyAlignment="1"/>
    <xf numFmtId="0" fontId="7" fillId="0" borderId="0" xfId="3"/>
    <xf numFmtId="166" fontId="9" fillId="0" borderId="0" xfId="1" applyNumberFormat="1" applyFont="1" applyFill="1" applyBorder="1" applyAlignment="1" applyProtection="1">
      <alignment horizontal="center"/>
      <protection locked="0"/>
    </xf>
    <xf numFmtId="2" fontId="0" fillId="0" borderId="0" xfId="0" applyNumberFormat="1"/>
    <xf numFmtId="170" fontId="1" fillId="2" borderId="14" xfId="1" applyNumberFormat="1" applyFont="1" applyFill="1" applyBorder="1"/>
    <xf numFmtId="170" fontId="1" fillId="0" borderId="14" xfId="1" applyNumberFormat="1" applyFont="1" applyFill="1" applyBorder="1"/>
    <xf numFmtId="170" fontId="1" fillId="3" borderId="14" xfId="1" applyNumberFormat="1" applyFont="1" applyFill="1" applyBorder="1"/>
    <xf numFmtId="9" fontId="0" fillId="0" borderId="0" xfId="4" applyFont="1"/>
    <xf numFmtId="171" fontId="1" fillId="3" borderId="14" xfId="1" applyNumberFormat="1" applyFont="1" applyFill="1" applyBorder="1"/>
    <xf numFmtId="0" fontId="11" fillId="0" borderId="0" xfId="0" applyFont="1"/>
    <xf numFmtId="0" fontId="12" fillId="0" borderId="0" xfId="5"/>
    <xf numFmtId="169" fontId="12" fillId="0" borderId="0" xfId="5" applyNumberFormat="1"/>
    <xf numFmtId="0" fontId="5" fillId="0" borderId="0" xfId="2" applyFont="1"/>
    <xf numFmtId="169" fontId="5" fillId="0" borderId="0" xfId="2" applyNumberFormat="1" applyFont="1"/>
    <xf numFmtId="0" fontId="1" fillId="0" borderId="0" xfId="1" applyNumberFormat="1" applyFont="1" applyFill="1" applyBorder="1" applyAlignment="1"/>
    <xf numFmtId="0" fontId="13" fillId="0" borderId="0" xfId="0" applyFont="1"/>
    <xf numFmtId="0" fontId="0" fillId="0" borderId="17" xfId="0" applyBorder="1"/>
    <xf numFmtId="2" fontId="0" fillId="0" borderId="18" xfId="0" applyNumberFormat="1" applyBorder="1"/>
    <xf numFmtId="0" fontId="0" fillId="0" borderId="19" xfId="0" applyBorder="1"/>
    <xf numFmtId="0" fontId="0" fillId="0" borderId="15" xfId="0" applyBorder="1"/>
    <xf numFmtId="9" fontId="0" fillId="0" borderId="8" xfId="4" applyFont="1" applyBorder="1"/>
    <xf numFmtId="0" fontId="0" fillId="0" borderId="9" xfId="0" applyBorder="1"/>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1" xfId="1" applyNumberFormat="1" applyFont="1" applyFill="1" applyBorder="1" applyAlignment="1">
      <alignment horizontal="center"/>
    </xf>
    <xf numFmtId="0" fontId="2" fillId="0" borderId="3" xfId="1" applyNumberFormat="1" applyFont="1" applyFill="1" applyBorder="1" applyAlignment="1">
      <alignment horizontal="center"/>
    </xf>
    <xf numFmtId="0" fontId="2" fillId="0" borderId="4" xfId="1" applyNumberFormat="1" applyFont="1" applyFill="1" applyBorder="1" applyAlignment="1">
      <alignment horizontal="center"/>
    </xf>
  </cellXfs>
  <cellStyles count="6">
    <cellStyle name="Hyperlink" xfId="3" builtinId="8"/>
    <cellStyle name="Normal" xfId="0" builtinId="0"/>
    <cellStyle name="Normal 2" xfId="2"/>
    <cellStyle name="Normal 3" xfId="5"/>
    <cellStyle name="Normal_TC9 Data"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0" i="0" u="none" strike="noStrike" baseline="0">
                <a:solidFill>
                  <a:srgbClr val="000000"/>
                </a:solidFill>
                <a:latin typeface="Arial"/>
                <a:ea typeface="Arial"/>
                <a:cs typeface="Arial"/>
              </a:defRPr>
            </a:pPr>
            <a:r>
              <a:rPr lang="en-GB"/>
              <a:t>Cost per KWh for 50 km</a:t>
            </a:r>
            <a:r>
              <a:rPr lang="en-GB" baseline="0"/>
              <a:t> </a:t>
            </a:r>
            <a:r>
              <a:rPr lang="en-GB"/>
              <a:t>distance</a:t>
            </a:r>
          </a:p>
        </c:rich>
      </c:tx>
      <c:layout>
        <c:manualLayout>
          <c:xMode val="edge"/>
          <c:yMode val="edge"/>
          <c:x val="0.32242475678564131"/>
          <c:y val="2.8960751999023378E-2"/>
        </c:manualLayout>
      </c:layout>
      <c:overlay val="0"/>
      <c:spPr>
        <a:noFill/>
        <a:ln w="25400">
          <a:noFill/>
        </a:ln>
      </c:spPr>
    </c:title>
    <c:autoTitleDeleted val="0"/>
    <c:plotArea>
      <c:layout>
        <c:manualLayout>
          <c:layoutTarget val="inner"/>
          <c:xMode val="edge"/>
          <c:yMode val="edge"/>
          <c:x val="0.19515174615500255"/>
          <c:y val="0.1635434412265758"/>
          <c:w val="0.70545538051063039"/>
          <c:h val="0.58773424190800683"/>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xVal>
            <c:numRef>
              <c:f>'NTS OCC Methodology'!$D$179:$D$197</c:f>
              <c:numCache>
                <c:formatCode>#,##0</c:formatCode>
                <c:ptCount val="19"/>
                <c:pt idx="0">
                  <c:v>660000000</c:v>
                </c:pt>
                <c:pt idx="1">
                  <c:v>550000000</c:v>
                </c:pt>
                <c:pt idx="2">
                  <c:v>440000000</c:v>
                </c:pt>
                <c:pt idx="3">
                  <c:v>330000000</c:v>
                </c:pt>
                <c:pt idx="4">
                  <c:v>220000000</c:v>
                </c:pt>
                <c:pt idx="5">
                  <c:v>165000000</c:v>
                </c:pt>
                <c:pt idx="6">
                  <c:v>132000000</c:v>
                </c:pt>
                <c:pt idx="7">
                  <c:v>110000000</c:v>
                </c:pt>
                <c:pt idx="8">
                  <c:v>77000000</c:v>
                </c:pt>
                <c:pt idx="9">
                  <c:v>55000000</c:v>
                </c:pt>
                <c:pt idx="10">
                  <c:v>44000000</c:v>
                </c:pt>
                <c:pt idx="11">
                  <c:v>33000000</c:v>
                </c:pt>
                <c:pt idx="12">
                  <c:v>22000000</c:v>
                </c:pt>
                <c:pt idx="13">
                  <c:v>11000000</c:v>
                </c:pt>
                <c:pt idx="14">
                  <c:v>5500000</c:v>
                </c:pt>
                <c:pt idx="15">
                  <c:v>4400000</c:v>
                </c:pt>
                <c:pt idx="16">
                  <c:v>3300000</c:v>
                </c:pt>
                <c:pt idx="17">
                  <c:v>2200000</c:v>
                </c:pt>
                <c:pt idx="18">
                  <c:v>1100000</c:v>
                </c:pt>
              </c:numCache>
            </c:numRef>
          </c:xVal>
          <c:yVal>
            <c:numRef>
              <c:f>'NTS OCC Methodology'!$B$259:$B$277</c:f>
              <c:numCache>
                <c:formatCode>0.00000</c:formatCode>
                <c:ptCount val="19"/>
                <c:pt idx="0">
                  <c:v>1.5598457978846332E-4</c:v>
                </c:pt>
                <c:pt idx="1">
                  <c:v>1.8718149574615595E-4</c:v>
                </c:pt>
                <c:pt idx="2">
                  <c:v>2.33976869682695E-4</c:v>
                </c:pt>
                <c:pt idx="3">
                  <c:v>3.1196915957692665E-4</c:v>
                </c:pt>
                <c:pt idx="4">
                  <c:v>1.9145120620036888E-4</c:v>
                </c:pt>
                <c:pt idx="5">
                  <c:v>2.5526827493382517E-4</c:v>
                </c:pt>
                <c:pt idx="6">
                  <c:v>3.190853436672813E-4</c:v>
                </c:pt>
                <c:pt idx="7">
                  <c:v>3.8290241240073771E-4</c:v>
                </c:pt>
                <c:pt idx="8">
                  <c:v>4.788364804784332E-4</c:v>
                </c:pt>
                <c:pt idx="9">
                  <c:v>6.7037107266980671E-4</c:v>
                </c:pt>
                <c:pt idx="10">
                  <c:v>8.3796384083725838E-4</c:v>
                </c:pt>
                <c:pt idx="11">
                  <c:v>8.0389038424328024E-4</c:v>
                </c:pt>
                <c:pt idx="12">
                  <c:v>1.2058355763649206E-3</c:v>
                </c:pt>
                <c:pt idx="13">
                  <c:v>2.1184954311389095E-3</c:v>
                </c:pt>
                <c:pt idx="14">
                  <c:v>4.2369908622778172E-3</c:v>
                </c:pt>
                <c:pt idx="15">
                  <c:v>4.9929533486152752E-3</c:v>
                </c:pt>
                <c:pt idx="16">
                  <c:v>6.6572711314870333E-3</c:v>
                </c:pt>
                <c:pt idx="17">
                  <c:v>9.9859066972305503E-3</c:v>
                </c:pt>
                <c:pt idx="18">
                  <c:v>1.6938961102141131E-2</c:v>
                </c:pt>
              </c:numCache>
            </c:numRef>
          </c:yVal>
          <c:smooth val="0"/>
          <c:extLst>
            <c:ext xmlns:c16="http://schemas.microsoft.com/office/drawing/2014/chart" uri="{C3380CC4-5D6E-409C-BE32-E72D297353CC}">
              <c16:uniqueId val="{00000000-35EC-459C-931D-815C48E3181E}"/>
            </c:ext>
          </c:extLst>
        </c:ser>
        <c:dLbls>
          <c:showLegendKey val="0"/>
          <c:showVal val="0"/>
          <c:showCatName val="0"/>
          <c:showSerName val="0"/>
          <c:showPercent val="0"/>
          <c:showBubbleSize val="0"/>
        </c:dLbls>
        <c:axId val="63993344"/>
        <c:axId val="63995904"/>
      </c:scatterChart>
      <c:valAx>
        <c:axId val="63993344"/>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78831313750453"/>
              <c:y val="0.841567234328267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3995904"/>
        <c:crosses val="autoZero"/>
        <c:crossBetween val="midCat"/>
      </c:valAx>
      <c:valAx>
        <c:axId val="63995904"/>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9393905103179468E-2"/>
              <c:y val="0.26064725630226454"/>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3993344"/>
        <c:crosses val="autoZero"/>
        <c:crossBetween val="midCat"/>
      </c:valAx>
      <c:spPr>
        <a:solidFill>
          <a:srgbClr val="C0C0C0"/>
        </a:solidFill>
        <a:ln w="12700">
          <a:solidFill>
            <a:srgbClr val="808080"/>
          </a:solidFill>
          <a:prstDash val="solid"/>
        </a:ln>
      </c:spPr>
    </c:plotArea>
    <c:legend>
      <c:legendPos val="b"/>
      <c:layout>
        <c:manualLayout>
          <c:xMode val="edge"/>
          <c:yMode val="edge"/>
          <c:x val="0.34424279001053015"/>
          <c:y val="0.92844973448086443"/>
          <c:w val="0.40606120043377814"/>
          <c:h val="5.9625221265946382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en-US"/>
              <a:t>Cost per KWh for 50km distance</a:t>
            </a:r>
          </a:p>
        </c:rich>
      </c:tx>
      <c:overlay val="1"/>
      <c:spPr>
        <a:noFill/>
        <a:ln w="25400">
          <a:noFill/>
        </a:ln>
      </c:spPr>
    </c:title>
    <c:autoTitleDeleted val="0"/>
    <c:plotArea>
      <c:layout>
        <c:manualLayout>
          <c:layoutTarget val="inner"/>
          <c:xMode val="edge"/>
          <c:yMode val="edge"/>
          <c:x val="0.1187740944959472"/>
          <c:y val="0.1615648941806411"/>
          <c:w val="0.8441900694819473"/>
          <c:h val="0.65136162601247938"/>
        </c:manualLayout>
      </c:layout>
      <c:scatterChart>
        <c:scatterStyle val="lineMarker"/>
        <c:varyColors val="0"/>
        <c:ser>
          <c:idx val="0"/>
          <c:order val="0"/>
          <c:tx>
            <c:v>Cost per KWh for 50 distance</c:v>
          </c:tx>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1"/>
            <c:dispEq val="1"/>
            <c:trendlineLbl>
              <c:layout>
                <c:manualLayout>
                  <c:x val="-0.15076545077091014"/>
                  <c:y val="1.468018311162617E-4"/>
                </c:manualLayout>
              </c:layout>
              <c:numFmt formatCode="General" sourceLinked="0"/>
              <c:txPr>
                <a:bodyPr/>
                <a:lstStyle/>
                <a:p>
                  <a:pPr>
                    <a:defRPr sz="1625" b="0" i="0" u="none" strike="noStrike" baseline="0">
                      <a:solidFill>
                        <a:srgbClr val="000000"/>
                      </a:solidFill>
                      <a:latin typeface="Arial"/>
                      <a:ea typeface="Arial"/>
                      <a:cs typeface="Arial"/>
                    </a:defRPr>
                  </a:pPr>
                  <a:endParaRPr lang="en-US"/>
                </a:p>
              </c:txPr>
            </c:trendlineLbl>
          </c:trendline>
          <c:xVal>
            <c:numRef>
              <c:f>'NTS OCC Methodology'!$E$179:$E$197</c:f>
              <c:numCache>
                <c:formatCode>0</c:formatCode>
                <c:ptCount val="19"/>
                <c:pt idx="0">
                  <c:v>20.307750392984744</c:v>
                </c:pt>
                <c:pt idx="1">
                  <c:v>20.125428836190792</c:v>
                </c:pt>
                <c:pt idx="2">
                  <c:v>19.90228528487658</c:v>
                </c:pt>
                <c:pt idx="3">
                  <c:v>19.6146032124248</c:v>
                </c:pt>
                <c:pt idx="4">
                  <c:v>19.209138104316636</c:v>
                </c:pt>
                <c:pt idx="5">
                  <c:v>18.921456031864853</c:v>
                </c:pt>
                <c:pt idx="6">
                  <c:v>18.698312480550644</c:v>
                </c:pt>
                <c:pt idx="7">
                  <c:v>18.515990923756689</c:v>
                </c:pt>
                <c:pt idx="8">
                  <c:v>18.159315979817958</c:v>
                </c:pt>
                <c:pt idx="9">
                  <c:v>17.822843743196746</c:v>
                </c:pt>
                <c:pt idx="10">
                  <c:v>17.599700191882537</c:v>
                </c:pt>
                <c:pt idx="11">
                  <c:v>17.312018119430753</c:v>
                </c:pt>
                <c:pt idx="12">
                  <c:v>16.90655301132259</c:v>
                </c:pt>
                <c:pt idx="13">
                  <c:v>16.213405830762646</c:v>
                </c:pt>
                <c:pt idx="14">
                  <c:v>15.520258650202699</c:v>
                </c:pt>
                <c:pt idx="15">
                  <c:v>15.29711509888849</c:v>
                </c:pt>
                <c:pt idx="16">
                  <c:v>15.009433026436708</c:v>
                </c:pt>
                <c:pt idx="17">
                  <c:v>14.603967918328545</c:v>
                </c:pt>
                <c:pt idx="18">
                  <c:v>13.910820737768599</c:v>
                </c:pt>
              </c:numCache>
            </c:numRef>
          </c:xVal>
          <c:yVal>
            <c:numRef>
              <c:f>'NTS OCC Methodology'!$C$259:$C$277</c:f>
              <c:numCache>
                <c:formatCode>#,##0.0</c:formatCode>
                <c:ptCount val="19"/>
                <c:pt idx="0">
                  <c:v>-8.7657534031103239</c:v>
                </c:pt>
                <c:pt idx="1">
                  <c:v>-8.5834318463163708</c:v>
                </c:pt>
                <c:pt idx="2">
                  <c:v>-8.3602882950021602</c:v>
                </c:pt>
                <c:pt idx="3">
                  <c:v>-8.0726062225503785</c:v>
                </c:pt>
                <c:pt idx="4">
                  <c:v>-8.5608775797193761</c:v>
                </c:pt>
                <c:pt idx="5">
                  <c:v>-8.2731955072675962</c:v>
                </c:pt>
                <c:pt idx="6">
                  <c:v>-8.0500519559533856</c:v>
                </c:pt>
                <c:pt idx="7">
                  <c:v>-7.8677303991594316</c:v>
                </c:pt>
                <c:pt idx="8">
                  <c:v>-7.6441513957074543</c:v>
                </c:pt>
                <c:pt idx="9">
                  <c:v>-7.3076791590862413</c:v>
                </c:pt>
                <c:pt idx="10">
                  <c:v>-7.0845356077720316</c:v>
                </c:pt>
                <c:pt idx="11">
                  <c:v>-7.1260476360860485</c:v>
                </c:pt>
                <c:pt idx="12">
                  <c:v>-6.7205825279778839</c:v>
                </c:pt>
                <c:pt idx="13">
                  <c:v>-6.1570491445490729</c:v>
                </c:pt>
                <c:pt idx="14">
                  <c:v>-5.4639019639891275</c:v>
                </c:pt>
                <c:pt idx="15">
                  <c:v>-5.2997276908649598</c:v>
                </c:pt>
                <c:pt idx="16">
                  <c:v>-5.012045618413179</c:v>
                </c:pt>
                <c:pt idx="17">
                  <c:v>-4.6065805103050144</c:v>
                </c:pt>
                <c:pt idx="18">
                  <c:v>-4.0781389197297155</c:v>
                </c:pt>
              </c:numCache>
            </c:numRef>
          </c:yVal>
          <c:smooth val="0"/>
          <c:extLst>
            <c:ext xmlns:c16="http://schemas.microsoft.com/office/drawing/2014/chart" uri="{C3380CC4-5D6E-409C-BE32-E72D297353CC}">
              <c16:uniqueId val="{00000001-EA87-45ED-98E1-D8DE0B379485}"/>
            </c:ext>
          </c:extLst>
        </c:ser>
        <c:dLbls>
          <c:showLegendKey val="0"/>
          <c:showVal val="0"/>
          <c:showCatName val="0"/>
          <c:showSerName val="0"/>
          <c:showPercent val="0"/>
          <c:showBubbleSize val="0"/>
        </c:dLbls>
        <c:axId val="64014208"/>
        <c:axId val="64020480"/>
      </c:scatterChart>
      <c:valAx>
        <c:axId val="64014208"/>
        <c:scaling>
          <c:orientation val="minMax"/>
          <c:min val="13"/>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3801447903"/>
              <c:y val="0.845239471212887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020480"/>
        <c:crosses val="autoZero"/>
        <c:crossBetween val="midCat"/>
      </c:valAx>
      <c:valAx>
        <c:axId val="64020480"/>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2.0434368780825472E-2"/>
              <c:y val="0.3061229502275518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014208"/>
        <c:crosses val="autoZero"/>
        <c:crossBetween val="midCat"/>
      </c:valAx>
      <c:spPr>
        <a:solidFill>
          <a:srgbClr val="C0C0C0"/>
        </a:solidFill>
        <a:ln w="12700">
          <a:solidFill>
            <a:srgbClr val="808080"/>
          </a:solidFill>
          <a:prstDash val="solid"/>
        </a:ln>
      </c:spPr>
    </c:plotArea>
    <c:legend>
      <c:legendPos val="b"/>
      <c:layout>
        <c:manualLayout>
          <c:xMode val="edge"/>
          <c:yMode val="edge"/>
          <c:x val="4.2145597184967264E-2"/>
          <c:y val="0.93027378458426646"/>
          <c:w val="0.91443295549594761"/>
          <c:h val="5.7823207878831662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0" i="0" u="none" strike="noStrike" baseline="0">
                <a:solidFill>
                  <a:srgbClr val="000000"/>
                </a:solidFill>
                <a:latin typeface="Arial"/>
                <a:ea typeface="Arial"/>
                <a:cs typeface="Arial"/>
              </a:defRPr>
            </a:pPr>
            <a:r>
              <a:rPr lang="en-US"/>
              <a:t>Cost per KWh for 0 km distance</a:t>
            </a:r>
          </a:p>
        </c:rich>
      </c:tx>
      <c:layout>
        <c:manualLayout>
          <c:xMode val="edge"/>
          <c:yMode val="edge"/>
          <c:x val="0.32160181433631474"/>
          <c:y val="2.8911547346904216E-2"/>
        </c:manualLayout>
      </c:layout>
      <c:overlay val="0"/>
      <c:spPr>
        <a:noFill/>
        <a:ln w="25400">
          <a:noFill/>
        </a:ln>
      </c:spPr>
    </c:title>
    <c:autoTitleDeleted val="0"/>
    <c:plotArea>
      <c:layout>
        <c:manualLayout>
          <c:layoutTarget val="inner"/>
          <c:xMode val="edge"/>
          <c:yMode val="edge"/>
          <c:x val="0.1953883495145631"/>
          <c:y val="0.16326557727727944"/>
          <c:w val="0.70509708737864074"/>
          <c:h val="0.58843635143686135"/>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xVal>
            <c:numRef>
              <c:f>'NTS OCC Methodology'!$D$179:$D$197</c:f>
              <c:numCache>
                <c:formatCode>#,##0</c:formatCode>
                <c:ptCount val="19"/>
                <c:pt idx="0">
                  <c:v>660000000</c:v>
                </c:pt>
                <c:pt idx="1">
                  <c:v>550000000</c:v>
                </c:pt>
                <c:pt idx="2">
                  <c:v>440000000</c:v>
                </c:pt>
                <c:pt idx="3">
                  <c:v>330000000</c:v>
                </c:pt>
                <c:pt idx="4">
                  <c:v>220000000</c:v>
                </c:pt>
                <c:pt idx="5">
                  <c:v>165000000</c:v>
                </c:pt>
                <c:pt idx="6">
                  <c:v>132000000</c:v>
                </c:pt>
                <c:pt idx="7">
                  <c:v>110000000</c:v>
                </c:pt>
                <c:pt idx="8">
                  <c:v>77000000</c:v>
                </c:pt>
                <c:pt idx="9">
                  <c:v>55000000</c:v>
                </c:pt>
                <c:pt idx="10">
                  <c:v>44000000</c:v>
                </c:pt>
                <c:pt idx="11">
                  <c:v>33000000</c:v>
                </c:pt>
                <c:pt idx="12">
                  <c:v>22000000</c:v>
                </c:pt>
                <c:pt idx="13">
                  <c:v>11000000</c:v>
                </c:pt>
                <c:pt idx="14">
                  <c:v>5500000</c:v>
                </c:pt>
                <c:pt idx="15">
                  <c:v>4400000</c:v>
                </c:pt>
                <c:pt idx="16">
                  <c:v>3300000</c:v>
                </c:pt>
                <c:pt idx="17">
                  <c:v>2200000</c:v>
                </c:pt>
                <c:pt idx="18">
                  <c:v>1100000</c:v>
                </c:pt>
              </c:numCache>
            </c:numRef>
          </c:xVal>
          <c:yVal>
            <c:numRef>
              <c:f>'NTS OCC Methodology'!$B$231:$B$249</c:f>
              <c:numCache>
                <c:formatCode>0.00000</c:formatCode>
                <c:ptCount val="19"/>
                <c:pt idx="0">
                  <c:v>3.809903393242125E-4</c:v>
                </c:pt>
                <c:pt idx="1">
                  <c:v>4.5718840718905496E-4</c:v>
                </c:pt>
                <c:pt idx="2">
                  <c:v>5.7148550898631874E-4</c:v>
                </c:pt>
                <c:pt idx="3">
                  <c:v>7.6198067864842499E-4</c:v>
                </c:pt>
                <c:pt idx="4">
                  <c:v>1.1429710179726375E-3</c:v>
                </c:pt>
                <c:pt idx="5">
                  <c:v>1.52396135729685E-3</c:v>
                </c:pt>
                <c:pt idx="6">
                  <c:v>1.7236968610672106E-3</c:v>
                </c:pt>
                <c:pt idx="7">
                  <c:v>1.9583067129441342E-3</c:v>
                </c:pt>
                <c:pt idx="8">
                  <c:v>2.561589189199083E-3</c:v>
                </c:pt>
                <c:pt idx="9">
                  <c:v>3.241315624864567E-3</c:v>
                </c:pt>
                <c:pt idx="10">
                  <c:v>3.56294478458741E-3</c:v>
                </c:pt>
                <c:pt idx="11">
                  <c:v>4.1357032242376563E-3</c:v>
                </c:pt>
                <c:pt idx="12">
                  <c:v>6.1071915060620331E-3</c:v>
                </c:pt>
                <c:pt idx="13">
                  <c:v>1.0011792605393708E-2</c:v>
                </c:pt>
                <c:pt idx="14">
                  <c:v>1.2059182476848696E-2</c:v>
                </c:pt>
                <c:pt idx="15">
                  <c:v>1.5073978096060871E-2</c:v>
                </c:pt>
                <c:pt idx="16">
                  <c:v>1.679475185131896E-2</c:v>
                </c:pt>
                <c:pt idx="17">
                  <c:v>2.5192127776978438E-2</c:v>
                </c:pt>
                <c:pt idx="18">
                  <c:v>4.2399865329559347E-2</c:v>
                </c:pt>
              </c:numCache>
            </c:numRef>
          </c:yVal>
          <c:smooth val="0"/>
          <c:extLst>
            <c:ext xmlns:c16="http://schemas.microsoft.com/office/drawing/2014/chart" uri="{C3380CC4-5D6E-409C-BE32-E72D297353CC}">
              <c16:uniqueId val="{00000000-71B0-4B94-A7F3-84E138BAD65D}"/>
            </c:ext>
          </c:extLst>
        </c:ser>
        <c:dLbls>
          <c:showLegendKey val="0"/>
          <c:showVal val="0"/>
          <c:showCatName val="0"/>
          <c:showSerName val="0"/>
          <c:showPercent val="0"/>
          <c:showBubbleSize val="0"/>
        </c:dLbls>
        <c:axId val="64815488"/>
        <c:axId val="64817792"/>
      </c:scatterChart>
      <c:valAx>
        <c:axId val="64815488"/>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15521239456715"/>
              <c:y val="0.8418382379621902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4817792"/>
        <c:crosses val="autoZero"/>
        <c:crossBetween val="midCat"/>
      </c:valAx>
      <c:valAx>
        <c:axId val="64817792"/>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5733506612644294E-2"/>
              <c:y val="0.13508134063887176"/>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4815488"/>
        <c:crosses val="autoZero"/>
        <c:crossBetween val="midCat"/>
      </c:valAx>
      <c:spPr>
        <a:solidFill>
          <a:srgbClr val="C0C0C0"/>
        </a:solidFill>
        <a:ln w="12700">
          <a:solidFill>
            <a:srgbClr val="808080"/>
          </a:solidFill>
          <a:prstDash val="solid"/>
        </a:ln>
      </c:spPr>
    </c:plotArea>
    <c:legend>
      <c:legendPos val="b"/>
      <c:layout>
        <c:manualLayout>
          <c:xMode val="edge"/>
          <c:yMode val="edge"/>
          <c:x val="0.3446601941747573"/>
          <c:y val="0.92857312190814856"/>
          <c:w val="0.40655327064699437"/>
          <c:h val="5.9523930476432341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en-GB"/>
              <a:t>Cost per KWh for 0 km distance</a:t>
            </a:r>
          </a:p>
        </c:rich>
      </c:tx>
      <c:overlay val="0"/>
      <c:spPr>
        <a:noFill/>
        <a:ln w="25400">
          <a:noFill/>
        </a:ln>
      </c:spPr>
    </c:title>
    <c:autoTitleDeleted val="0"/>
    <c:plotArea>
      <c:layout>
        <c:manualLayout>
          <c:layoutTarget val="inner"/>
          <c:xMode val="edge"/>
          <c:yMode val="edge"/>
          <c:x val="0.11877407710229637"/>
          <c:y val="0.16835263011901955"/>
          <c:w val="0.8441900694819473"/>
          <c:h val="0.65136162601247938"/>
        </c:manualLayout>
      </c:layout>
      <c:scatterChart>
        <c:scatterStyle val="lineMarker"/>
        <c:varyColors val="0"/>
        <c:ser>
          <c:idx val="0"/>
          <c:order val="0"/>
          <c:tx>
            <c:v>Cost per KWh for 0 distance</c:v>
          </c:tx>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1"/>
            <c:dispEq val="1"/>
            <c:trendlineLbl>
              <c:layout>
                <c:manualLayout>
                  <c:x val="-0.14310286907315983"/>
                  <c:y val="-7.28237141856454E-3"/>
                </c:manualLayout>
              </c:layout>
              <c:numFmt formatCode="General" sourceLinked="0"/>
              <c:txPr>
                <a:bodyPr/>
                <a:lstStyle/>
                <a:p>
                  <a:pPr>
                    <a:defRPr sz="1625" b="0" i="0" u="none" strike="noStrike" baseline="0">
                      <a:solidFill>
                        <a:srgbClr val="000000"/>
                      </a:solidFill>
                      <a:latin typeface="Arial"/>
                      <a:ea typeface="Arial"/>
                      <a:cs typeface="Arial"/>
                    </a:defRPr>
                  </a:pPr>
                  <a:endParaRPr lang="en-US"/>
                </a:p>
              </c:txPr>
            </c:trendlineLbl>
          </c:trendline>
          <c:xVal>
            <c:numRef>
              <c:f>'NTS OCC Methodology'!$E$179:$E$197</c:f>
              <c:numCache>
                <c:formatCode>0</c:formatCode>
                <c:ptCount val="19"/>
                <c:pt idx="0">
                  <c:v>20.307750392984744</c:v>
                </c:pt>
                <c:pt idx="1">
                  <c:v>20.125428836190792</c:v>
                </c:pt>
                <c:pt idx="2">
                  <c:v>19.90228528487658</c:v>
                </c:pt>
                <c:pt idx="3">
                  <c:v>19.6146032124248</c:v>
                </c:pt>
                <c:pt idx="4">
                  <c:v>19.209138104316636</c:v>
                </c:pt>
                <c:pt idx="5">
                  <c:v>18.921456031864853</c:v>
                </c:pt>
                <c:pt idx="6">
                  <c:v>18.698312480550644</c:v>
                </c:pt>
                <c:pt idx="7">
                  <c:v>18.515990923756689</c:v>
                </c:pt>
                <c:pt idx="8">
                  <c:v>18.159315979817958</c:v>
                </c:pt>
                <c:pt idx="9">
                  <c:v>17.822843743196746</c:v>
                </c:pt>
                <c:pt idx="10">
                  <c:v>17.599700191882537</c:v>
                </c:pt>
                <c:pt idx="11">
                  <c:v>17.312018119430753</c:v>
                </c:pt>
                <c:pt idx="12">
                  <c:v>16.90655301132259</c:v>
                </c:pt>
                <c:pt idx="13">
                  <c:v>16.213405830762646</c:v>
                </c:pt>
                <c:pt idx="14">
                  <c:v>15.520258650202699</c:v>
                </c:pt>
                <c:pt idx="15">
                  <c:v>15.29711509888849</c:v>
                </c:pt>
                <c:pt idx="16">
                  <c:v>15.009433026436708</c:v>
                </c:pt>
                <c:pt idx="17">
                  <c:v>14.603967918328545</c:v>
                </c:pt>
                <c:pt idx="18">
                  <c:v>13.910820737768599</c:v>
                </c:pt>
              </c:numCache>
            </c:numRef>
          </c:xVal>
          <c:yVal>
            <c:numRef>
              <c:f>'NTS OCC Methodology'!$C$231:$C$249</c:f>
              <c:numCache>
                <c:formatCode>#,##0.0</c:formatCode>
                <c:ptCount val="19"/>
                <c:pt idx="0">
                  <c:v>-7.8727365392634736</c:v>
                </c:pt>
                <c:pt idx="1">
                  <c:v>-7.6904149824695196</c:v>
                </c:pt>
                <c:pt idx="2">
                  <c:v>-7.467271431155309</c:v>
                </c:pt>
                <c:pt idx="3">
                  <c:v>-7.1795893587035282</c:v>
                </c:pt>
                <c:pt idx="4">
                  <c:v>-6.7741242505953636</c:v>
                </c:pt>
                <c:pt idx="5">
                  <c:v>-6.4864421781435828</c:v>
                </c:pt>
                <c:pt idx="6">
                  <c:v>-6.3632839568491493</c:v>
                </c:pt>
                <c:pt idx="7">
                  <c:v>-6.2356751011026441</c:v>
                </c:pt>
                <c:pt idx="8">
                  <c:v>-5.9671274360621309</c:v>
                </c:pt>
                <c:pt idx="9">
                  <c:v>-5.73177597453979</c:v>
                </c:pt>
                <c:pt idx="10">
                  <c:v>-5.6371678893666974</c:v>
                </c:pt>
                <c:pt idx="11" formatCode="#,##0.000">
                  <c:v>-5.4880978986450417</c:v>
                </c:pt>
                <c:pt idx="12">
                  <c:v>-5.0982882667815144</c:v>
                </c:pt>
                <c:pt idx="13">
                  <c:v>-4.6039916202302651</c:v>
                </c:pt>
                <c:pt idx="14">
                  <c:v>-4.4179288779701356</c:v>
                </c:pt>
                <c:pt idx="15">
                  <c:v>-4.1947853266559259</c:v>
                </c:pt>
                <c:pt idx="16">
                  <c:v>-4.0866888311792255</c:v>
                </c:pt>
                <c:pt idx="17">
                  <c:v>-3.6812237230710609</c:v>
                </c:pt>
                <c:pt idx="18">
                  <c:v>-3.1606100929389069</c:v>
                </c:pt>
              </c:numCache>
            </c:numRef>
          </c:yVal>
          <c:smooth val="0"/>
          <c:extLst>
            <c:ext xmlns:c16="http://schemas.microsoft.com/office/drawing/2014/chart" uri="{C3380CC4-5D6E-409C-BE32-E72D297353CC}">
              <c16:uniqueId val="{00000001-BC6D-4550-8B75-BC3AA58DAF27}"/>
            </c:ext>
          </c:extLst>
        </c:ser>
        <c:dLbls>
          <c:showLegendKey val="0"/>
          <c:showVal val="0"/>
          <c:showCatName val="0"/>
          <c:showSerName val="0"/>
          <c:showPercent val="0"/>
          <c:showBubbleSize val="0"/>
        </c:dLbls>
        <c:axId val="64840064"/>
        <c:axId val="64841984"/>
      </c:scatterChart>
      <c:valAx>
        <c:axId val="64840064"/>
        <c:scaling>
          <c:orientation val="minMax"/>
          <c:min val="13"/>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7630825806"/>
              <c:y val="0.845239622824924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841984"/>
        <c:crosses val="autoZero"/>
        <c:crossBetween val="midCat"/>
      </c:valAx>
      <c:valAx>
        <c:axId val="64841984"/>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1.6618176965167489E-2"/>
              <c:y val="0.2213524351122776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840064"/>
        <c:crosses val="autoZero"/>
        <c:crossBetween val="midCat"/>
      </c:valAx>
      <c:spPr>
        <a:solidFill>
          <a:srgbClr val="C0C0C0"/>
        </a:solidFill>
        <a:ln w="12700">
          <a:solidFill>
            <a:srgbClr val="808080"/>
          </a:solidFill>
          <a:prstDash val="solid"/>
        </a:ln>
      </c:spPr>
    </c:plotArea>
    <c:legend>
      <c:legendPos val="b"/>
      <c:layout>
        <c:manualLayout>
          <c:xMode val="edge"/>
          <c:yMode val="edge"/>
          <c:x val="4.2145706362975814E-2"/>
          <c:y val="0.93027364634976184"/>
          <c:w val="0.93542061479603189"/>
          <c:h val="5.7823223485953146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28575</xdr:colOff>
      <xdr:row>256</xdr:row>
      <xdr:rowOff>76200</xdr:rowOff>
    </xdr:from>
    <xdr:to>
      <xdr:col>8</xdr:col>
      <xdr:colOff>219075</xdr:colOff>
      <xdr:row>277</xdr:row>
      <xdr:rowOff>142875</xdr:rowOff>
    </xdr:to>
    <xdr:graphicFrame macro="">
      <xdr:nvGraphicFramePr>
        <xdr:cNvPr id="2" name="Chart 1">
          <a:extLst>
            <a:ext uri="{FF2B5EF4-FFF2-40B4-BE49-F238E27FC236}">
              <a16:creationId xmlns:a16="http://schemas.microsoft.com/office/drawing/2014/main" id="{00000000-0008-0000-0200-0000AF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256</xdr:row>
      <xdr:rowOff>19050</xdr:rowOff>
    </xdr:from>
    <xdr:to>
      <xdr:col>13</xdr:col>
      <xdr:colOff>704850</xdr:colOff>
      <xdr:row>277</xdr:row>
      <xdr:rowOff>142875</xdr:rowOff>
    </xdr:to>
    <xdr:graphicFrame macro="">
      <xdr:nvGraphicFramePr>
        <xdr:cNvPr id="3" name="Chart 3">
          <a:extLst>
            <a:ext uri="{FF2B5EF4-FFF2-40B4-BE49-F238E27FC236}">
              <a16:creationId xmlns:a16="http://schemas.microsoft.com/office/drawing/2014/main" id="{00000000-0008-0000-0200-0000B0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228</xdr:row>
      <xdr:rowOff>57150</xdr:rowOff>
    </xdr:from>
    <xdr:to>
      <xdr:col>8</xdr:col>
      <xdr:colOff>219075</xdr:colOff>
      <xdr:row>249</xdr:row>
      <xdr:rowOff>133350</xdr:rowOff>
    </xdr:to>
    <xdr:graphicFrame macro="">
      <xdr:nvGraphicFramePr>
        <xdr:cNvPr id="4" name="Chart 717">
          <a:extLst>
            <a:ext uri="{FF2B5EF4-FFF2-40B4-BE49-F238E27FC236}">
              <a16:creationId xmlns:a16="http://schemas.microsoft.com/office/drawing/2014/main" id="{00000000-0008-0000-0200-0000B1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561975</xdr:colOff>
      <xdr:row>228</xdr:row>
      <xdr:rowOff>76200</xdr:rowOff>
    </xdr:from>
    <xdr:to>
      <xdr:col>13</xdr:col>
      <xdr:colOff>581025</xdr:colOff>
      <xdr:row>249</xdr:row>
      <xdr:rowOff>133350</xdr:rowOff>
    </xdr:to>
    <xdr:graphicFrame macro="">
      <xdr:nvGraphicFramePr>
        <xdr:cNvPr id="5" name="Chart 718">
          <a:extLst>
            <a:ext uri="{FF2B5EF4-FFF2-40B4-BE49-F238E27FC236}">
              <a16:creationId xmlns:a16="http://schemas.microsoft.com/office/drawing/2014/main" id="{00000000-0008-0000-0200-0000B2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156147</xdr:colOff>
      <xdr:row>5</xdr:row>
      <xdr:rowOff>46843</xdr:rowOff>
    </xdr:from>
    <xdr:to>
      <xdr:col>13</xdr:col>
      <xdr:colOff>109304</xdr:colOff>
      <xdr:row>10</xdr:row>
      <xdr:rowOff>31228</xdr:rowOff>
    </xdr:to>
    <xdr:sp macro="" textlink="">
      <xdr:nvSpPr>
        <xdr:cNvPr id="6" name="TextBox 5">
          <a:extLst>
            <a:ext uri="{FF2B5EF4-FFF2-40B4-BE49-F238E27FC236}">
              <a16:creationId xmlns:a16="http://schemas.microsoft.com/office/drawing/2014/main" id="{00000000-0008-0000-0200-000002000000}"/>
            </a:ext>
          </a:extLst>
        </xdr:cNvPr>
        <xdr:cNvSpPr txBox="1"/>
      </xdr:nvSpPr>
      <xdr:spPr>
        <a:xfrm>
          <a:off x="15777147" y="1046968"/>
          <a:ext cx="3953657" cy="98451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This table shows the pipe diameters in mm required to meet a range of typical peak day flowrates for a range of pipeline distances. </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5</xdr:col>
      <xdr:colOff>62457</xdr:colOff>
      <xdr:row>26</xdr:row>
      <xdr:rowOff>0</xdr:rowOff>
    </xdr:from>
    <xdr:to>
      <xdr:col>7</xdr:col>
      <xdr:colOff>1748851</xdr:colOff>
      <xdr:row>34</xdr:row>
      <xdr:rowOff>15615</xdr:rowOff>
    </xdr:to>
    <xdr:sp macro="" textlink="">
      <xdr:nvSpPr>
        <xdr:cNvPr id="7" name="TextBox 6">
          <a:extLst>
            <a:ext uri="{FF2B5EF4-FFF2-40B4-BE49-F238E27FC236}">
              <a16:creationId xmlns:a16="http://schemas.microsoft.com/office/drawing/2014/main" id="{00000000-0008-0000-0200-000003000000}"/>
            </a:ext>
          </a:extLst>
        </xdr:cNvPr>
        <xdr:cNvSpPr txBox="1"/>
      </xdr:nvSpPr>
      <xdr:spPr>
        <a:xfrm>
          <a:off x="7120482" y="5200650"/>
          <a:ext cx="4486744" cy="163486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table contains the unit costs per km based on historical planning and design specification for the different pipe sizes based on values used to produce the NTS Optional Commodity Charge formula in 1998</a:t>
          </a:r>
          <a:endParaRPr lang="en-GB" sz="1400">
            <a:effectLst/>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Please note these have been indexed to 9/10 using steel index and then indexed from 9/10 to 18/19 using RPI.</a:t>
          </a:r>
        </a:p>
      </xdr:txBody>
    </xdr:sp>
    <xdr:clientData/>
  </xdr:twoCellAnchor>
  <xdr:twoCellAnchor>
    <xdr:from>
      <xdr:col>5</xdr:col>
      <xdr:colOff>78074</xdr:colOff>
      <xdr:row>35</xdr:row>
      <xdr:rowOff>171764</xdr:rowOff>
    </xdr:from>
    <xdr:to>
      <xdr:col>7</xdr:col>
      <xdr:colOff>1467788</xdr:colOff>
      <xdr:row>41</xdr:row>
      <xdr:rowOff>171763</xdr:rowOff>
    </xdr:to>
    <xdr:sp macro="" textlink="">
      <xdr:nvSpPr>
        <xdr:cNvPr id="8" name="TextBox 7">
          <a:extLst>
            <a:ext uri="{FF2B5EF4-FFF2-40B4-BE49-F238E27FC236}">
              <a16:creationId xmlns:a16="http://schemas.microsoft.com/office/drawing/2014/main" id="{00000000-0008-0000-0200-000004000000}"/>
            </a:ext>
          </a:extLst>
        </xdr:cNvPr>
        <xdr:cNvSpPr txBox="1"/>
      </xdr:nvSpPr>
      <xdr:spPr>
        <a:xfrm>
          <a:off x="7136099" y="7191689"/>
          <a:ext cx="4190064" cy="120014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This section contains the Ofgem provided unit costs in 9/10 prices and these are indexed to 18/19 using RPI. </a:t>
          </a:r>
          <a:r>
            <a:rPr lang="en-GB" sz="1400" b="1">
              <a:latin typeface="Arial" panose="020B0604020202020204" pitchFamily="34" charset="0"/>
              <a:cs typeface="Arial" panose="020B0604020202020204" pitchFamily="34" charset="0"/>
            </a:rPr>
            <a:t>Please</a:t>
          </a:r>
          <a:r>
            <a:rPr lang="en-GB" sz="1400" b="1" baseline="0">
              <a:latin typeface="Arial" panose="020B0604020202020204" pitchFamily="34" charset="0"/>
              <a:cs typeface="Arial" panose="020B0604020202020204" pitchFamily="34" charset="0"/>
            </a:rPr>
            <a:t> </a:t>
          </a:r>
          <a:r>
            <a:rPr lang="en-GB" sz="1400" b="1">
              <a:latin typeface="Arial" panose="020B0604020202020204" pitchFamily="34" charset="0"/>
              <a:cs typeface="Arial" panose="020B0604020202020204" pitchFamily="34" charset="0"/>
            </a:rPr>
            <a:t>note</a:t>
          </a:r>
          <a:r>
            <a:rPr lang="en-GB" sz="1400" b="1" baseline="0">
              <a:latin typeface="Arial" panose="020B0604020202020204" pitchFamily="34" charset="0"/>
              <a:cs typeface="Arial" panose="020B0604020202020204" pitchFamily="34" charset="0"/>
            </a:rPr>
            <a:t> because of the sensitivity of these numbers we have used different numbers for illustration purposes.</a:t>
          </a:r>
          <a:endParaRPr lang="en-GB" sz="1400" b="1">
            <a:latin typeface="Arial" panose="020B0604020202020204" pitchFamily="34" charset="0"/>
            <a:cs typeface="Arial" panose="020B0604020202020204" pitchFamily="34" charset="0"/>
          </a:endParaRPr>
        </a:p>
      </xdr:txBody>
    </xdr:sp>
    <xdr:clientData/>
  </xdr:twoCellAnchor>
  <xdr:twoCellAnchor>
    <xdr:from>
      <xdr:col>10</xdr:col>
      <xdr:colOff>140533</xdr:colOff>
      <xdr:row>93</xdr:row>
      <xdr:rowOff>171762</xdr:rowOff>
    </xdr:from>
    <xdr:to>
      <xdr:col>13</xdr:col>
      <xdr:colOff>624590</xdr:colOff>
      <xdr:row>105</xdr:row>
      <xdr:rowOff>62459</xdr:rowOff>
    </xdr:to>
    <xdr:sp macro="" textlink="">
      <xdr:nvSpPr>
        <xdr:cNvPr id="9" name="TextBox 8">
          <a:extLst>
            <a:ext uri="{FF2B5EF4-FFF2-40B4-BE49-F238E27FC236}">
              <a16:creationId xmlns:a16="http://schemas.microsoft.com/office/drawing/2014/main" id="{00000000-0008-0000-0200-000005000000}"/>
            </a:ext>
          </a:extLst>
        </xdr:cNvPr>
        <xdr:cNvSpPr txBox="1"/>
      </xdr:nvSpPr>
      <xdr:spPr>
        <a:xfrm>
          <a:off x="15761533" y="19136037"/>
          <a:ext cx="4484557" cy="229099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capital cost for a range of distances and peak day flowrates. This is done by multiplying the pipe laying unit cost from table 2 by the distance and adding the non-distance related cost from step 3. Additional costs are included for pipeline distances at 25km and over (£100k*) with an extra increment (£100k*) at 50km as an estimate of additional costs as distance increases. </a:t>
          </a:r>
          <a:r>
            <a:rPr lang="en-GB" sz="1400">
              <a:latin typeface="Arial" panose="020B0604020202020204" pitchFamily="34" charset="0"/>
              <a:cs typeface="Arial" panose="020B0604020202020204" pitchFamily="34" charset="0"/>
            </a:rPr>
            <a:t> </a:t>
          </a:r>
        </a:p>
        <a:p>
          <a:r>
            <a:rPr lang="en-GB" sz="1400" b="1">
              <a:latin typeface="Arial" panose="020B0604020202020204" pitchFamily="34" charset="0"/>
              <a:cs typeface="Arial" panose="020B0604020202020204" pitchFamily="34" charset="0"/>
            </a:rPr>
            <a:t>*Please note these have been indexed to 18/19 prices using RPI</a:t>
          </a:r>
          <a:r>
            <a:rPr lang="en-GB" sz="1400" b="1" baseline="0">
              <a:latin typeface="Arial" panose="020B0604020202020204" pitchFamily="34" charset="0"/>
              <a:cs typeface="Arial" panose="020B0604020202020204" pitchFamily="34" charset="0"/>
            </a:rPr>
            <a:t>.</a:t>
          </a:r>
          <a:endParaRPr lang="en-GB" sz="1400" b="1">
            <a:latin typeface="Arial" panose="020B0604020202020204" pitchFamily="34" charset="0"/>
            <a:cs typeface="Arial" panose="020B0604020202020204" pitchFamily="34" charset="0"/>
          </a:endParaRPr>
        </a:p>
      </xdr:txBody>
    </xdr:sp>
    <xdr:clientData/>
  </xdr:twoCellAnchor>
  <xdr:twoCellAnchor>
    <xdr:from>
      <xdr:col>10</xdr:col>
      <xdr:colOff>78073</xdr:colOff>
      <xdr:row>123</xdr:row>
      <xdr:rowOff>62457</xdr:rowOff>
    </xdr:from>
    <xdr:to>
      <xdr:col>13</xdr:col>
      <xdr:colOff>249837</xdr:colOff>
      <xdr:row>129</xdr:row>
      <xdr:rowOff>93688</xdr:rowOff>
    </xdr:to>
    <xdr:sp macro="" textlink="">
      <xdr:nvSpPr>
        <xdr:cNvPr id="11" name="TextBox 10">
          <a:extLst>
            <a:ext uri="{FF2B5EF4-FFF2-40B4-BE49-F238E27FC236}">
              <a16:creationId xmlns:a16="http://schemas.microsoft.com/office/drawing/2014/main" id="{00000000-0008-0000-0200-000007000000}"/>
            </a:ext>
          </a:extLst>
        </xdr:cNvPr>
        <xdr:cNvSpPr txBox="1"/>
      </xdr:nvSpPr>
      <xdr:spPr>
        <a:xfrm>
          <a:off x="15699073" y="27437307"/>
          <a:ext cx="4172264" cy="1231381"/>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project cost per annum made up of annuitised capital costs and ongoing (revenue) costs</a:t>
          </a:r>
          <a:r>
            <a:rPr lang="en-GB" sz="1400" b="0" i="0" u="none" strike="noStrike" baseline="0">
              <a:solidFill>
                <a:schemeClr val="dk1"/>
              </a:solidFill>
              <a:effectLst/>
              <a:latin typeface="Arial" panose="020B0604020202020204" pitchFamily="34" charset="0"/>
              <a:ea typeface="+mn-ea"/>
              <a:cs typeface="Arial" panose="020B0604020202020204" pitchFamily="34" charset="0"/>
            </a:rPr>
            <a:t> </a:t>
          </a:r>
          <a:r>
            <a:rPr lang="en-GB" sz="1400" b="0" i="0" u="none" strike="noStrike">
              <a:solidFill>
                <a:schemeClr val="dk1"/>
              </a:solidFill>
              <a:effectLst/>
              <a:latin typeface="Arial" panose="020B0604020202020204" pitchFamily="34" charset="0"/>
              <a:ea typeface="+mn-ea"/>
              <a:cs typeface="Arial" panose="020B0604020202020204" pitchFamily="34" charset="0"/>
            </a:rPr>
            <a:t>using the inputs from step 4 and the annuitisation factor from step 5.</a:t>
          </a:r>
          <a:br>
            <a:rPr lang="en-GB" sz="1400" b="0" i="0" u="none" strike="noStrike">
              <a:solidFill>
                <a:schemeClr val="dk1"/>
              </a:solidFill>
              <a:effectLst/>
              <a:latin typeface="Arial" panose="020B0604020202020204" pitchFamily="34" charset="0"/>
              <a:ea typeface="+mn-ea"/>
              <a:cs typeface="Arial" panose="020B0604020202020204" pitchFamily="34" charset="0"/>
            </a:rPr>
          </a:br>
          <a:endParaRPr lang="en-GB" sz="1400">
            <a:latin typeface="Arial" panose="020B0604020202020204" pitchFamily="34" charset="0"/>
            <a:cs typeface="Arial" panose="020B0604020202020204" pitchFamily="34" charset="0"/>
          </a:endParaRPr>
        </a:p>
      </xdr:txBody>
    </xdr:sp>
    <xdr:clientData/>
  </xdr:twoCellAnchor>
  <xdr:twoCellAnchor>
    <xdr:from>
      <xdr:col>10</xdr:col>
      <xdr:colOff>93687</xdr:colOff>
      <xdr:row>145</xdr:row>
      <xdr:rowOff>202990</xdr:rowOff>
    </xdr:from>
    <xdr:to>
      <xdr:col>13</xdr:col>
      <xdr:colOff>733894</xdr:colOff>
      <xdr:row>154</xdr:row>
      <xdr:rowOff>1</xdr:rowOff>
    </xdr:to>
    <xdr:sp macro="" textlink="">
      <xdr:nvSpPr>
        <xdr:cNvPr id="12" name="TextBox 11">
          <a:extLst>
            <a:ext uri="{FF2B5EF4-FFF2-40B4-BE49-F238E27FC236}">
              <a16:creationId xmlns:a16="http://schemas.microsoft.com/office/drawing/2014/main" id="{00000000-0008-0000-0200-000008000000}"/>
            </a:ext>
          </a:extLst>
        </xdr:cNvPr>
        <xdr:cNvSpPr txBox="1"/>
      </xdr:nvSpPr>
      <xdr:spPr>
        <a:xfrm>
          <a:off x="15714687" y="31978390"/>
          <a:ext cx="4640707" cy="1597236"/>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GB" sz="1400">
              <a:latin typeface="Arial" panose="020B0604020202020204" pitchFamily="34" charset="0"/>
              <a:cs typeface="Arial" panose="020B0604020202020204" pitchFamily="34" charset="0"/>
            </a:rPr>
            <a:t>This table calculates the ongoing costs of the hypothetical pipeline based on a number of assumptions and estimates. The total for including these costs are through a combination of adjustments that in total provide the assumption for the annual maintenance costs associated to the pipeline. These costs increase in steps based on flow rates and distances.</a:t>
          </a:r>
        </a:p>
        <a:p>
          <a:pPr>
            <a:lnSpc>
              <a:spcPts val="1500"/>
            </a:lnSpc>
          </a:pPr>
          <a:endParaRPr lang="en-GB" sz="1400">
            <a:latin typeface="Arial" panose="020B0604020202020204" pitchFamily="34" charset="0"/>
            <a:cs typeface="Arial" panose="020B0604020202020204" pitchFamily="34" charset="0"/>
          </a:endParaRPr>
        </a:p>
      </xdr:txBody>
    </xdr:sp>
    <xdr:clientData/>
  </xdr:twoCellAnchor>
  <xdr:twoCellAnchor>
    <xdr:from>
      <xdr:col>8</xdr:col>
      <xdr:colOff>109302</xdr:colOff>
      <xdr:row>166</xdr:row>
      <xdr:rowOff>15617</xdr:rowOff>
    </xdr:from>
    <xdr:to>
      <xdr:col>11</xdr:col>
      <xdr:colOff>1249181</xdr:colOff>
      <xdr:row>168</xdr:row>
      <xdr:rowOff>46844</xdr:rowOff>
    </xdr:to>
    <xdr:sp macro="" textlink="">
      <xdr:nvSpPr>
        <xdr:cNvPr id="13" name="TextBox 12">
          <a:extLst>
            <a:ext uri="{FF2B5EF4-FFF2-40B4-BE49-F238E27FC236}">
              <a16:creationId xmlns:a16="http://schemas.microsoft.com/office/drawing/2014/main" id="{00000000-0008-0000-0200-000009000000}"/>
            </a:ext>
          </a:extLst>
        </xdr:cNvPr>
        <xdr:cNvSpPr txBox="1"/>
      </xdr:nvSpPr>
      <xdr:spPr>
        <a:xfrm>
          <a:off x="13006152" y="36001067"/>
          <a:ext cx="5197529" cy="42175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1">
              <a:latin typeface="Arial" panose="020B0604020202020204" pitchFamily="34" charset="0"/>
              <a:cs typeface="Arial" panose="020B0604020202020204" pitchFamily="34" charset="0"/>
            </a:rPr>
            <a:t>Please note these have been indexed to 18/19 using RPI.</a:t>
          </a:r>
        </a:p>
      </xdr:txBody>
    </xdr:sp>
    <xdr:clientData/>
  </xdr:twoCellAnchor>
  <xdr:twoCellAnchor>
    <xdr:from>
      <xdr:col>8</xdr:col>
      <xdr:colOff>78074</xdr:colOff>
      <xdr:row>176</xdr:row>
      <xdr:rowOff>171763</xdr:rowOff>
    </xdr:from>
    <xdr:to>
      <xdr:col>11</xdr:col>
      <xdr:colOff>296680</xdr:colOff>
      <xdr:row>183</xdr:row>
      <xdr:rowOff>15615</xdr:rowOff>
    </xdr:to>
    <xdr:sp macro="" textlink="">
      <xdr:nvSpPr>
        <xdr:cNvPr id="14" name="TextBox 13">
          <a:extLst>
            <a:ext uri="{FF2B5EF4-FFF2-40B4-BE49-F238E27FC236}">
              <a16:creationId xmlns:a16="http://schemas.microsoft.com/office/drawing/2014/main" id="{00000000-0008-0000-0200-00000A000000}"/>
            </a:ext>
          </a:extLst>
        </xdr:cNvPr>
        <xdr:cNvSpPr txBox="1"/>
      </xdr:nvSpPr>
      <xdr:spPr>
        <a:xfrm>
          <a:off x="12974924" y="38128888"/>
          <a:ext cx="4276256" cy="125355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supply point capacities using updated CV value from TYS of 39.6 MJ/M</a:t>
          </a:r>
          <a:r>
            <a:rPr lang="en-GB" sz="1400" b="0" i="0" u="none" strike="noStrike" baseline="30000">
              <a:solidFill>
                <a:schemeClr val="dk1"/>
              </a:solidFill>
              <a:effectLst/>
              <a:latin typeface="Arial" panose="020B0604020202020204" pitchFamily="34" charset="0"/>
              <a:ea typeface="+mn-ea"/>
              <a:cs typeface="Arial" panose="020B0604020202020204" pitchFamily="34" charset="0"/>
            </a:rPr>
            <a:t>3</a:t>
          </a:r>
          <a:r>
            <a:rPr lang="en-GB" sz="1400" b="0" i="0" u="none" strike="noStrike">
              <a:solidFill>
                <a:schemeClr val="dk1"/>
              </a:solidFill>
              <a:effectLst/>
              <a:latin typeface="Arial" panose="020B0604020202020204" pitchFamily="34" charset="0"/>
              <a:ea typeface="+mn-ea"/>
              <a:cs typeface="Arial" panose="020B0604020202020204" pitchFamily="34" charset="0"/>
            </a:rPr>
            <a:t>. This is used to calculate the Annual Quantity AQ in GWh that will be used to calculate the cost per kWh.</a:t>
          </a:r>
          <a:r>
            <a:rPr lang="en-GB" sz="1400">
              <a:latin typeface="Arial" panose="020B0604020202020204" pitchFamily="34" charset="0"/>
              <a:cs typeface="Arial" panose="020B0604020202020204" pitchFamily="34" charset="0"/>
            </a:rPr>
            <a:t> </a:t>
          </a:r>
        </a:p>
      </xdr:txBody>
    </xdr:sp>
    <xdr:clientData/>
  </xdr:twoCellAnchor>
  <xdr:twoCellAnchor>
    <xdr:from>
      <xdr:col>10</xdr:col>
      <xdr:colOff>124919</xdr:colOff>
      <xdr:row>201</xdr:row>
      <xdr:rowOff>171760</xdr:rowOff>
    </xdr:from>
    <xdr:to>
      <xdr:col>13</xdr:col>
      <xdr:colOff>187377</xdr:colOff>
      <xdr:row>210</xdr:row>
      <xdr:rowOff>0</xdr:rowOff>
    </xdr:to>
    <xdr:sp macro="" textlink="">
      <xdr:nvSpPr>
        <xdr:cNvPr id="15" name="TextBox 14">
          <a:extLst>
            <a:ext uri="{FF2B5EF4-FFF2-40B4-BE49-F238E27FC236}">
              <a16:creationId xmlns:a16="http://schemas.microsoft.com/office/drawing/2014/main" id="{00000000-0008-0000-0200-00000B000000}"/>
            </a:ext>
          </a:extLst>
        </xdr:cNvPr>
        <xdr:cNvSpPr txBox="1"/>
      </xdr:nvSpPr>
      <xdr:spPr>
        <a:xfrm>
          <a:off x="15745919" y="43148560"/>
          <a:ext cx="4062958" cy="162846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500"/>
            </a:lnSpc>
            <a:spcBef>
              <a:spcPts val="0"/>
            </a:spcBef>
            <a:spcAft>
              <a:spcPts val="0"/>
            </a:spcAft>
            <a:buClrTx/>
            <a:buSzTx/>
            <a:buFontTx/>
            <a:buNone/>
            <a:tabLst/>
            <a:defRPr/>
          </a:pPr>
          <a:r>
            <a:rPr lang="en-GB" sz="1400" b="0" i="0" u="none" strike="noStrike">
              <a:solidFill>
                <a:schemeClr val="dk1"/>
              </a:solidFill>
              <a:effectLst/>
              <a:latin typeface="Arial" panose="020B0604020202020204" pitchFamily="34" charset="0"/>
              <a:ea typeface="+mn-ea"/>
              <a:cs typeface="Arial" panose="020B0604020202020204" pitchFamily="34" charset="0"/>
            </a:rPr>
            <a:t>This table divides the annuitised ongoing costs in table 7  by the annual quantities corresponding to the supply point capacities generate a matrix of unit cost in table 8 (supply point capacities), expressed in p/kWh for a range of supply point capacities and distances.</a:t>
          </a:r>
          <a:r>
            <a:rPr lang="en-GB" sz="1400">
              <a:latin typeface="Arial" panose="020B0604020202020204" pitchFamily="34" charset="0"/>
              <a:cs typeface="Arial" panose="020B0604020202020204" pitchFamily="34" charset="0"/>
            </a:rPr>
            <a:t> </a:t>
          </a:r>
          <a:endParaRPr lang="en-GB" sz="1400">
            <a:effectLst/>
            <a:latin typeface="Arial" panose="020B0604020202020204" pitchFamily="34" charset="0"/>
            <a:cs typeface="Arial" panose="020B0604020202020204" pitchFamily="34" charset="0"/>
          </a:endParaRPr>
        </a:p>
      </xdr:txBody>
    </xdr:sp>
    <xdr:clientData/>
  </xdr:twoCellAnchor>
  <xdr:twoCellAnchor>
    <xdr:from>
      <xdr:col>13</xdr:col>
      <xdr:colOff>702662</xdr:colOff>
      <xdr:row>228</xdr:row>
      <xdr:rowOff>62458</xdr:rowOff>
    </xdr:from>
    <xdr:to>
      <xdr:col>17</xdr:col>
      <xdr:colOff>421597</xdr:colOff>
      <xdr:row>240</xdr:row>
      <xdr:rowOff>140533</xdr:rowOff>
    </xdr:to>
    <xdr:sp macro="" textlink="">
      <xdr:nvSpPr>
        <xdr:cNvPr id="16" name="TextBox 15">
          <a:extLst>
            <a:ext uri="{FF2B5EF4-FFF2-40B4-BE49-F238E27FC236}">
              <a16:creationId xmlns:a16="http://schemas.microsoft.com/office/drawing/2014/main" id="{00000000-0008-0000-0200-00000D000000}"/>
            </a:ext>
          </a:extLst>
        </xdr:cNvPr>
        <xdr:cNvSpPr txBox="1"/>
      </xdr:nvSpPr>
      <xdr:spPr>
        <a:xfrm>
          <a:off x="20324162" y="48439933"/>
          <a:ext cx="5205335" cy="238312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u="none" strike="noStrike">
              <a:solidFill>
                <a:schemeClr val="dk1"/>
              </a:solidFill>
              <a:effectLst/>
              <a:latin typeface="Arial" panose="020B0604020202020204" pitchFamily="34" charset="0"/>
              <a:ea typeface="+mn-ea"/>
              <a:cs typeface="Arial" panose="020B0604020202020204" pitchFamily="34" charset="0"/>
            </a:rPr>
            <a:t>This section calculates the distance and non-distance related parts of the function and this is done by means of regression analysis on the data. The functions are expressed as power relationships. The zero distance p/kWh is from step 9. The distance related average p/kWh is calculated by subtracting the 0km cost per kWh value from the 50 km cost per kWh in step 9 and dividing by 50. These are used to create linear equations that represent the non-distance and distance related elements of the NTS Optional Capacity Charge function. </a:t>
          </a:r>
          <a:r>
            <a:rPr lang="en-GB" sz="1400">
              <a:latin typeface="Arial" panose="020B0604020202020204" pitchFamily="34" charset="0"/>
              <a:cs typeface="Arial" panose="020B0604020202020204" pitchFamily="34" charset="0"/>
            </a:rPr>
            <a:t> </a:t>
          </a:r>
        </a:p>
      </xdr:txBody>
    </xdr:sp>
    <xdr:clientData/>
  </xdr:twoCellAnchor>
  <xdr:oneCellAnchor>
    <xdr:from>
      <xdr:col>3</xdr:col>
      <xdr:colOff>655820</xdr:colOff>
      <xdr:row>44</xdr:row>
      <xdr:rowOff>390369</xdr:rowOff>
    </xdr:from>
    <xdr:ext cx="184731" cy="264560"/>
    <xdr:sp macro="" textlink="">
      <xdr:nvSpPr>
        <xdr:cNvPr id="17" name="TextBox 16">
          <a:extLst>
            <a:ext uri="{FF2B5EF4-FFF2-40B4-BE49-F238E27FC236}">
              <a16:creationId xmlns:a16="http://schemas.microsoft.com/office/drawing/2014/main" id="{00000000-0008-0000-0200-00000F000000}"/>
            </a:ext>
          </a:extLst>
        </xdr:cNvPr>
        <xdr:cNvSpPr txBox="1"/>
      </xdr:nvSpPr>
      <xdr:spPr>
        <a:xfrm>
          <a:off x="4827770" y="9210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3</xdr:col>
      <xdr:colOff>93688</xdr:colOff>
      <xdr:row>43</xdr:row>
      <xdr:rowOff>202991</xdr:rowOff>
    </xdr:from>
    <xdr:to>
      <xdr:col>6</xdr:col>
      <xdr:colOff>905656</xdr:colOff>
      <xdr:row>51</xdr:row>
      <xdr:rowOff>31230</xdr:rowOff>
    </xdr:to>
    <xdr:sp macro="" textlink="">
      <xdr:nvSpPr>
        <xdr:cNvPr id="18" name="TextBox 17">
          <a:extLst>
            <a:ext uri="{FF2B5EF4-FFF2-40B4-BE49-F238E27FC236}">
              <a16:creationId xmlns:a16="http://schemas.microsoft.com/office/drawing/2014/main" id="{00000000-0008-0000-0200-000010000000}"/>
            </a:ext>
          </a:extLst>
        </xdr:cNvPr>
        <xdr:cNvSpPr txBox="1"/>
      </xdr:nvSpPr>
      <xdr:spPr>
        <a:xfrm>
          <a:off x="4265638" y="8823116"/>
          <a:ext cx="5031543" cy="185706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latin typeface="Arial" panose="020B0604020202020204" pitchFamily="34" charset="0"/>
              <a:ea typeface="+mn-ea"/>
              <a:cs typeface="Arial" panose="020B0604020202020204" pitchFamily="34" charset="0"/>
            </a:rPr>
            <a:t>This table calculates the split between the fixed and variable costs for the new pipe sizes. This is because the</a:t>
          </a:r>
          <a:r>
            <a:rPr lang="en-GB" sz="1400" baseline="0">
              <a:solidFill>
                <a:schemeClr val="dk1"/>
              </a:solidFill>
              <a:latin typeface="Arial" panose="020B0604020202020204" pitchFamily="34" charset="0"/>
              <a:ea typeface="+mn-ea"/>
              <a:cs typeface="Arial" panose="020B0604020202020204" pitchFamily="34" charset="0"/>
            </a:rPr>
            <a:t> </a:t>
          </a:r>
          <a:r>
            <a:rPr lang="en-GB" sz="1400">
              <a:solidFill>
                <a:schemeClr val="dk1"/>
              </a:solidFill>
              <a:latin typeface="Arial" panose="020B0604020202020204" pitchFamily="34" charset="0"/>
              <a:ea typeface="+mn-ea"/>
              <a:cs typeface="Arial" panose="020B0604020202020204" pitchFamily="34" charset="0"/>
            </a:rPr>
            <a:t>cost  of the  new pipe sizes are given as  composite values and we need to split  the costs into distance and non -distance costs to maintain the same structure as the original formula. </a:t>
          </a:r>
          <a:r>
            <a:rPr lang="en-GB" sz="1400" b="1">
              <a:solidFill>
                <a:schemeClr val="dk1"/>
              </a:solidFill>
              <a:latin typeface="Arial" panose="020B0604020202020204" pitchFamily="34" charset="0"/>
              <a:ea typeface="+mn-ea"/>
              <a:cs typeface="Arial" panose="020B0604020202020204" pitchFamily="34" charset="0"/>
            </a:rPr>
            <a:t>Please</a:t>
          </a:r>
          <a:r>
            <a:rPr lang="en-GB" sz="1400">
              <a:solidFill>
                <a:schemeClr val="dk1"/>
              </a:solidFill>
              <a:latin typeface="Arial" panose="020B0604020202020204" pitchFamily="34" charset="0"/>
              <a:ea typeface="+mn-ea"/>
              <a:cs typeface="Arial" panose="020B0604020202020204" pitchFamily="34" charset="0"/>
            </a:rPr>
            <a:t> </a:t>
          </a:r>
          <a:r>
            <a:rPr lang="en-GB" sz="1400" b="1">
              <a:solidFill>
                <a:schemeClr val="dk1"/>
              </a:solidFill>
              <a:latin typeface="Arial" panose="020B0604020202020204" pitchFamily="34" charset="0"/>
              <a:ea typeface="+mn-ea"/>
              <a:cs typeface="Arial" panose="020B0604020202020204" pitchFamily="34" charset="0"/>
            </a:rPr>
            <a:t>note because of the </a:t>
          </a:r>
          <a:r>
            <a:rPr lang="en-GB" sz="1400" b="1" baseline="0">
              <a:solidFill>
                <a:schemeClr val="dk1"/>
              </a:solidFill>
              <a:effectLst/>
              <a:latin typeface="Arial" panose="020B0604020202020204" pitchFamily="34" charset="0"/>
              <a:ea typeface="+mn-ea"/>
              <a:cs typeface="Arial" panose="020B0604020202020204" pitchFamily="34" charset="0"/>
            </a:rPr>
            <a:t>sensitivity of these numbers we have used different numbers for illustration purposes.</a:t>
          </a:r>
          <a:endParaRPr lang="en-GB" sz="1400">
            <a:effectLst/>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twoCellAnchor>
  <xdr:twoCellAnchor>
    <xdr:from>
      <xdr:col>5</xdr:col>
      <xdr:colOff>78073</xdr:colOff>
      <xdr:row>54</xdr:row>
      <xdr:rowOff>15612</xdr:rowOff>
    </xdr:from>
    <xdr:to>
      <xdr:col>7</xdr:col>
      <xdr:colOff>1264796</xdr:colOff>
      <xdr:row>62</xdr:row>
      <xdr:rowOff>62457</xdr:rowOff>
    </xdr:to>
    <xdr:sp macro="" textlink="">
      <xdr:nvSpPr>
        <xdr:cNvPr id="19" name="TextBox 18">
          <a:extLst>
            <a:ext uri="{FF2B5EF4-FFF2-40B4-BE49-F238E27FC236}">
              <a16:creationId xmlns:a16="http://schemas.microsoft.com/office/drawing/2014/main" id="{00000000-0008-0000-0200-000015000000}"/>
            </a:ext>
          </a:extLst>
        </xdr:cNvPr>
        <xdr:cNvSpPr txBox="1"/>
      </xdr:nvSpPr>
      <xdr:spPr>
        <a:xfrm>
          <a:off x="7136098" y="11264637"/>
          <a:ext cx="3987073" cy="164704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This table contains a total value of some of the non-distance related costs (e.g. Pipeline connection, Pig traps, Calorimetry, Pressure reduction and volumetric control) for each of the peak day flowrates.</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latin typeface="Arial" panose="020B0604020202020204" pitchFamily="34" charset="0"/>
              <a:cs typeface="Arial" panose="020B0604020202020204" pitchFamily="34" charset="0"/>
            </a:rPr>
            <a:t>Please note these have been indexed to 18/19 prices using RPI.</a:t>
          </a:r>
        </a:p>
      </xdr:txBody>
    </xdr:sp>
    <xdr:clientData/>
  </xdr:twoCellAnchor>
  <xdr:twoCellAnchor>
    <xdr:from>
      <xdr:col>12</xdr:col>
      <xdr:colOff>109302</xdr:colOff>
      <xdr:row>291</xdr:row>
      <xdr:rowOff>109305</xdr:rowOff>
    </xdr:from>
    <xdr:to>
      <xdr:col>15</xdr:col>
      <xdr:colOff>1061803</xdr:colOff>
      <xdr:row>297</xdr:row>
      <xdr:rowOff>171762</xdr:rowOff>
    </xdr:to>
    <xdr:sp macro="" textlink="">
      <xdr:nvSpPr>
        <xdr:cNvPr id="20" name="TextBox 19">
          <a:extLst>
            <a:ext uri="{FF2B5EF4-FFF2-40B4-BE49-F238E27FC236}">
              <a16:creationId xmlns:a16="http://schemas.microsoft.com/office/drawing/2014/main" id="{00000000-0008-0000-0200-000016000000}"/>
            </a:ext>
          </a:extLst>
        </xdr:cNvPr>
        <xdr:cNvSpPr txBox="1"/>
      </xdr:nvSpPr>
      <xdr:spPr>
        <a:xfrm>
          <a:off x="18397302" y="60869280"/>
          <a:ext cx="5029201" cy="180553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5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section contains the NTS Optional Capacity Charge formula that is produced from the previous steps. The formula is made up of the gradient and intercepts values from the two linear equations (non-distance and distance related). The first part of the equation covers the distance related element of the equation and the second part is the non-distance related part of the equation.</a:t>
          </a:r>
        </a:p>
        <a:p>
          <a:pPr>
            <a:lnSpc>
              <a:spcPts val="1500"/>
            </a:lnSpc>
          </a:pPr>
          <a:endParaRPr lang="en-GB" sz="1400">
            <a:latin typeface="Arial" panose="020B0604020202020204" pitchFamily="34" charset="0"/>
            <a:cs typeface="Arial" panose="020B0604020202020204" pitchFamily="34" charset="0"/>
          </a:endParaRPr>
        </a:p>
      </xdr:txBody>
    </xdr:sp>
    <xdr:clientData/>
  </xdr:twoCellAnchor>
  <xdr:twoCellAnchor>
    <xdr:from>
      <xdr:col>3</xdr:col>
      <xdr:colOff>140531</xdr:colOff>
      <xdr:row>78</xdr:row>
      <xdr:rowOff>15615</xdr:rowOff>
    </xdr:from>
    <xdr:to>
      <xdr:col>6</xdr:col>
      <xdr:colOff>249836</xdr:colOff>
      <xdr:row>84</xdr:row>
      <xdr:rowOff>15615</xdr:rowOff>
    </xdr:to>
    <xdr:sp macro="" textlink="">
      <xdr:nvSpPr>
        <xdr:cNvPr id="21" name="TextBox 20">
          <a:extLst>
            <a:ext uri="{FF2B5EF4-FFF2-40B4-BE49-F238E27FC236}">
              <a16:creationId xmlns:a16="http://schemas.microsoft.com/office/drawing/2014/main" id="{00000000-0008-0000-0200-00000C000000}"/>
            </a:ext>
          </a:extLst>
        </xdr:cNvPr>
        <xdr:cNvSpPr txBox="1"/>
      </xdr:nvSpPr>
      <xdr:spPr>
        <a:xfrm>
          <a:off x="4312481" y="16055715"/>
          <a:ext cx="4328880" cy="11715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This</a:t>
          </a:r>
          <a:r>
            <a:rPr lang="en-GB" sz="1400" baseline="0">
              <a:latin typeface="Arial" panose="020B0604020202020204" pitchFamily="34" charset="0"/>
              <a:cs typeface="Arial" panose="020B0604020202020204" pitchFamily="34" charset="0"/>
            </a:rPr>
            <a:t> table contains the indexed estimated embedded costs in the model. These cost are applied in table 4 and table 7.</a:t>
          </a: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Please note these have been indexed to 18/19 prices using RPI.</a:t>
          </a:r>
          <a:endParaRPr lang="en-GB" sz="1400">
            <a:effectLst/>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economy/inflationandpriceindices/timeseries/chaw/mm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317"/>
  <sheetViews>
    <sheetView showGridLines="0" tabSelected="1" topLeftCell="A100" zoomScale="61" zoomScaleNormal="61" workbookViewId="0">
      <selection activeCell="C119" sqref="C119"/>
    </sheetView>
  </sheetViews>
  <sheetFormatPr defaultColWidth="20.5703125" defaultRowHeight="15.75" x14ac:dyDescent="0.25"/>
  <cols>
    <col min="1" max="1" width="21.5703125" style="36" customWidth="1"/>
    <col min="2" max="2" width="19.85546875" style="4" customWidth="1"/>
    <col min="3" max="3" width="21.140625" style="4" customWidth="1"/>
    <col min="4" max="4" width="20" style="4" customWidth="1"/>
    <col min="5" max="5" width="23.28515625" style="4" customWidth="1"/>
    <col min="6" max="6" width="20" style="4" customWidth="1"/>
    <col min="7" max="7" width="37.42578125" style="4" customWidth="1"/>
    <col min="8" max="8" width="30.7109375" style="4" customWidth="1"/>
    <col min="9" max="9" width="30.140625" style="4" customWidth="1"/>
    <col min="10" max="10" width="36.42578125" style="4" customWidth="1"/>
    <col min="11" max="11" width="25.7109375" style="4" customWidth="1"/>
    <col min="12" max="12" width="24" style="4" customWidth="1"/>
    <col min="13" max="13" width="13.42578125" style="4" customWidth="1"/>
    <col min="14" max="16384" width="20.5703125" style="4"/>
  </cols>
  <sheetData>
    <row r="1" spans="1:41" s="2" customFormat="1" x14ac:dyDescent="0.25">
      <c r="A1" s="1"/>
      <c r="AE1" s="1"/>
    </row>
    <row r="3" spans="1:41" s="2" customFormat="1" x14ac:dyDescent="0.25">
      <c r="A3" s="1" t="s">
        <v>0</v>
      </c>
    </row>
    <row r="4" spans="1:41" x14ac:dyDescent="0.25">
      <c r="A4" s="3"/>
    </row>
    <row r="5" spans="1:41" x14ac:dyDescent="0.25">
      <c r="A5" s="3" t="s">
        <v>1</v>
      </c>
      <c r="B5" s="3" t="s">
        <v>2</v>
      </c>
      <c r="C5" s="3" t="s">
        <v>3</v>
      </c>
      <c r="D5" s="3" t="s">
        <v>4</v>
      </c>
      <c r="E5" s="3" t="s">
        <v>5</v>
      </c>
      <c r="F5" s="3" t="s">
        <v>6</v>
      </c>
      <c r="G5" s="3" t="s">
        <v>7</v>
      </c>
      <c r="H5" s="3" t="s">
        <v>8</v>
      </c>
      <c r="I5" s="3" t="s">
        <v>9</v>
      </c>
      <c r="J5" s="3" t="s">
        <v>10</v>
      </c>
      <c r="K5" s="3"/>
      <c r="L5" s="3"/>
      <c r="N5" s="3"/>
      <c r="AE5" s="3"/>
    </row>
    <row r="6" spans="1:41" x14ac:dyDescent="0.25">
      <c r="A6" s="5">
        <v>60</v>
      </c>
      <c r="B6" s="6">
        <f>A6*$H$180</f>
        <v>660000000</v>
      </c>
      <c r="C6" s="7">
        <v>600</v>
      </c>
      <c r="D6" s="7">
        <v>915</v>
      </c>
      <c r="E6" s="7">
        <v>915</v>
      </c>
      <c r="F6" s="7">
        <v>915</v>
      </c>
      <c r="G6" s="7">
        <v>915</v>
      </c>
      <c r="H6" s="7">
        <v>915</v>
      </c>
      <c r="I6" s="7">
        <v>915</v>
      </c>
      <c r="J6" s="7">
        <v>915</v>
      </c>
      <c r="K6" s="8"/>
      <c r="L6" s="8"/>
      <c r="M6" s="8"/>
      <c r="N6" s="3"/>
      <c r="AE6" s="3"/>
    </row>
    <row r="7" spans="1:41" x14ac:dyDescent="0.25">
      <c r="A7" s="5">
        <v>50</v>
      </c>
      <c r="B7" s="6">
        <f t="shared" ref="B7:B24" si="0">A7*$H$180</f>
        <v>550000000</v>
      </c>
      <c r="C7" s="7">
        <v>600</v>
      </c>
      <c r="D7" s="7">
        <v>610</v>
      </c>
      <c r="E7" s="7">
        <v>915</v>
      </c>
      <c r="F7" s="7">
        <v>915</v>
      </c>
      <c r="G7" s="7">
        <v>915</v>
      </c>
      <c r="H7" s="7">
        <v>915</v>
      </c>
      <c r="I7" s="7">
        <v>915</v>
      </c>
      <c r="J7" s="7">
        <v>915</v>
      </c>
      <c r="K7" s="8"/>
      <c r="L7" s="8"/>
      <c r="M7" s="8"/>
      <c r="N7" s="3"/>
      <c r="AE7" s="3"/>
    </row>
    <row r="8" spans="1:41" x14ac:dyDescent="0.25">
      <c r="A8" s="5">
        <v>40</v>
      </c>
      <c r="B8" s="6">
        <f t="shared" si="0"/>
        <v>440000000</v>
      </c>
      <c r="C8" s="7">
        <v>450</v>
      </c>
      <c r="D8" s="7">
        <v>600</v>
      </c>
      <c r="E8" s="7">
        <v>610</v>
      </c>
      <c r="F8" s="7">
        <v>915</v>
      </c>
      <c r="G8" s="7">
        <v>915</v>
      </c>
      <c r="H8" s="7">
        <v>915</v>
      </c>
      <c r="I8" s="7">
        <v>915</v>
      </c>
      <c r="J8" s="7">
        <v>915</v>
      </c>
      <c r="K8" s="8"/>
      <c r="L8" s="8"/>
      <c r="M8" s="8"/>
      <c r="N8" s="3"/>
      <c r="AE8" s="3"/>
    </row>
    <row r="9" spans="1:41" x14ac:dyDescent="0.25">
      <c r="A9" s="5">
        <v>30</v>
      </c>
      <c r="B9" s="6">
        <f t="shared" si="0"/>
        <v>330000000</v>
      </c>
      <c r="C9" s="7">
        <v>450</v>
      </c>
      <c r="D9" s="7">
        <v>450</v>
      </c>
      <c r="E9" s="7">
        <v>600</v>
      </c>
      <c r="F9" s="7">
        <v>600</v>
      </c>
      <c r="G9" s="7">
        <v>610</v>
      </c>
      <c r="H9" s="7">
        <v>915</v>
      </c>
      <c r="I9" s="7">
        <v>915</v>
      </c>
      <c r="J9" s="7">
        <v>915</v>
      </c>
      <c r="K9" s="8"/>
      <c r="L9" s="8"/>
      <c r="M9" s="8"/>
      <c r="N9" s="3"/>
      <c r="AE9" s="3"/>
    </row>
    <row r="10" spans="1:41" x14ac:dyDescent="0.25">
      <c r="A10" s="5">
        <v>20</v>
      </c>
      <c r="B10" s="6">
        <f t="shared" si="0"/>
        <v>220000000</v>
      </c>
      <c r="C10" s="7">
        <v>450</v>
      </c>
      <c r="D10" s="7">
        <v>450</v>
      </c>
      <c r="E10" s="7">
        <v>450</v>
      </c>
      <c r="F10" s="7">
        <v>600</v>
      </c>
      <c r="G10" s="7">
        <v>600</v>
      </c>
      <c r="H10" s="7">
        <v>600</v>
      </c>
      <c r="I10" s="7">
        <v>600</v>
      </c>
      <c r="J10" s="7">
        <v>600</v>
      </c>
      <c r="K10" s="8"/>
      <c r="L10" s="8"/>
      <c r="M10" s="8"/>
      <c r="N10" s="3"/>
      <c r="AE10" s="3"/>
    </row>
    <row r="11" spans="1:41" x14ac:dyDescent="0.25">
      <c r="A11" s="3">
        <v>15</v>
      </c>
      <c r="B11" s="9">
        <f t="shared" si="0"/>
        <v>165000000</v>
      </c>
      <c r="C11" s="10">
        <v>450</v>
      </c>
      <c r="D11" s="10">
        <v>450</v>
      </c>
      <c r="E11" s="10">
        <v>450</v>
      </c>
      <c r="F11" s="10">
        <v>450</v>
      </c>
      <c r="G11" s="10">
        <v>600</v>
      </c>
      <c r="H11" s="10">
        <v>600</v>
      </c>
      <c r="I11" s="10">
        <v>600</v>
      </c>
      <c r="J11" s="4">
        <v>600</v>
      </c>
      <c r="K11" s="8"/>
      <c r="L11" s="8"/>
      <c r="M11" s="8"/>
      <c r="AE11" s="3"/>
    </row>
    <row r="12" spans="1:41" x14ac:dyDescent="0.25">
      <c r="A12" s="3">
        <v>12</v>
      </c>
      <c r="B12" s="9">
        <f t="shared" si="0"/>
        <v>132000000</v>
      </c>
      <c r="C12" s="10">
        <v>300</v>
      </c>
      <c r="D12" s="10">
        <v>450</v>
      </c>
      <c r="E12" s="10">
        <v>450</v>
      </c>
      <c r="F12" s="10">
        <v>450</v>
      </c>
      <c r="G12" s="10">
        <v>450</v>
      </c>
      <c r="H12" s="10">
        <v>450</v>
      </c>
      <c r="I12" s="10">
        <v>600</v>
      </c>
      <c r="J12" s="4">
        <v>600</v>
      </c>
      <c r="K12" s="10"/>
      <c r="L12" s="10"/>
      <c r="M12" s="8"/>
    </row>
    <row r="13" spans="1:41" x14ac:dyDescent="0.25">
      <c r="A13" s="3">
        <v>10</v>
      </c>
      <c r="B13" s="9">
        <f t="shared" si="0"/>
        <v>110000000</v>
      </c>
      <c r="C13" s="10">
        <v>300</v>
      </c>
      <c r="D13" s="10">
        <v>300</v>
      </c>
      <c r="E13" s="10">
        <v>450</v>
      </c>
      <c r="F13" s="10">
        <v>450</v>
      </c>
      <c r="G13" s="10">
        <v>450</v>
      </c>
      <c r="H13" s="10">
        <v>450</v>
      </c>
      <c r="I13" s="10">
        <v>450</v>
      </c>
      <c r="J13" s="4">
        <v>600</v>
      </c>
      <c r="K13" s="10"/>
      <c r="L13" s="10"/>
      <c r="M13" s="10"/>
    </row>
    <row r="14" spans="1:41" x14ac:dyDescent="0.25">
      <c r="A14" s="3">
        <v>7</v>
      </c>
      <c r="B14" s="9">
        <f t="shared" si="0"/>
        <v>77000000</v>
      </c>
      <c r="C14" s="10">
        <v>300</v>
      </c>
      <c r="D14" s="10">
        <v>300</v>
      </c>
      <c r="E14" s="10">
        <v>300</v>
      </c>
      <c r="F14" s="10">
        <v>300</v>
      </c>
      <c r="G14" s="10">
        <v>450</v>
      </c>
      <c r="H14" s="10">
        <v>450</v>
      </c>
      <c r="I14" s="10">
        <v>450</v>
      </c>
      <c r="J14" s="4">
        <v>450</v>
      </c>
      <c r="K14" s="10"/>
      <c r="L14" s="10"/>
      <c r="M14" s="10"/>
      <c r="AE14" s="11"/>
      <c r="AF14" s="11"/>
      <c r="AG14" s="3"/>
      <c r="AH14" s="11"/>
      <c r="AI14" s="11"/>
      <c r="AJ14" s="11"/>
      <c r="AK14" s="11"/>
      <c r="AL14" s="11"/>
      <c r="AM14" s="11"/>
      <c r="AN14" s="11"/>
      <c r="AO14" s="12"/>
    </row>
    <row r="15" spans="1:41" x14ac:dyDescent="0.25">
      <c r="A15" s="3">
        <v>5</v>
      </c>
      <c r="B15" s="9">
        <f t="shared" si="0"/>
        <v>55000000</v>
      </c>
      <c r="C15" s="10">
        <v>300</v>
      </c>
      <c r="D15" s="10">
        <v>300</v>
      </c>
      <c r="E15" s="10">
        <v>300</v>
      </c>
      <c r="F15" s="10">
        <v>300</v>
      </c>
      <c r="G15" s="10">
        <v>300</v>
      </c>
      <c r="H15" s="10">
        <v>300</v>
      </c>
      <c r="I15" s="10">
        <v>450</v>
      </c>
      <c r="J15" s="4">
        <v>450</v>
      </c>
      <c r="K15" s="10"/>
      <c r="L15" s="10"/>
      <c r="M15" s="10"/>
      <c r="AE15" s="3"/>
      <c r="AF15" s="3"/>
      <c r="AG15" s="11"/>
      <c r="AH15" s="11"/>
      <c r="AI15" s="11"/>
      <c r="AJ15" s="11"/>
      <c r="AK15" s="11"/>
      <c r="AL15" s="11"/>
      <c r="AM15" s="11"/>
      <c r="AN15" s="11"/>
      <c r="AO15" s="12"/>
    </row>
    <row r="16" spans="1:41" x14ac:dyDescent="0.25">
      <c r="A16" s="3">
        <v>4</v>
      </c>
      <c r="B16" s="9">
        <f t="shared" si="0"/>
        <v>44000000</v>
      </c>
      <c r="C16" s="10">
        <v>200</v>
      </c>
      <c r="D16" s="10">
        <v>300</v>
      </c>
      <c r="E16" s="10">
        <v>300</v>
      </c>
      <c r="F16" s="10">
        <v>300</v>
      </c>
      <c r="G16" s="10">
        <v>300</v>
      </c>
      <c r="H16" s="10">
        <v>300</v>
      </c>
      <c r="I16" s="10">
        <v>300</v>
      </c>
      <c r="J16" s="4">
        <v>450</v>
      </c>
      <c r="K16" s="10"/>
      <c r="L16" s="10"/>
      <c r="M16" s="10"/>
      <c r="AE16" s="11"/>
      <c r="AF16" s="13"/>
      <c r="AG16" s="11"/>
      <c r="AH16" s="11"/>
      <c r="AI16" s="11"/>
      <c r="AJ16" s="11"/>
      <c r="AK16" s="11"/>
      <c r="AL16" s="11"/>
      <c r="AM16" s="11"/>
      <c r="AN16" s="11"/>
      <c r="AO16" s="12"/>
    </row>
    <row r="17" spans="1:50" x14ac:dyDescent="0.25">
      <c r="A17" s="3">
        <v>3</v>
      </c>
      <c r="B17" s="9">
        <f t="shared" si="0"/>
        <v>33000000</v>
      </c>
      <c r="C17" s="10">
        <v>200</v>
      </c>
      <c r="D17" s="10">
        <v>200</v>
      </c>
      <c r="E17" s="10">
        <v>200</v>
      </c>
      <c r="F17" s="10">
        <v>300</v>
      </c>
      <c r="G17" s="10">
        <v>300</v>
      </c>
      <c r="H17" s="10">
        <v>300</v>
      </c>
      <c r="I17" s="10">
        <v>300</v>
      </c>
      <c r="J17" s="4">
        <v>300</v>
      </c>
      <c r="K17" s="10"/>
      <c r="L17" s="10"/>
      <c r="M17" s="10"/>
      <c r="AE17" s="11"/>
      <c r="AF17" s="13"/>
      <c r="AG17" s="11"/>
      <c r="AH17" s="11"/>
      <c r="AI17" s="11"/>
      <c r="AJ17" s="11"/>
      <c r="AK17" s="11"/>
      <c r="AL17" s="11"/>
      <c r="AM17" s="11"/>
      <c r="AN17" s="11"/>
      <c r="AO17" s="12"/>
    </row>
    <row r="18" spans="1:50" x14ac:dyDescent="0.25">
      <c r="A18" s="3">
        <v>2</v>
      </c>
      <c r="B18" s="9">
        <f t="shared" si="0"/>
        <v>22000000</v>
      </c>
      <c r="C18" s="10">
        <v>150</v>
      </c>
      <c r="D18" s="10">
        <v>150</v>
      </c>
      <c r="E18" s="10">
        <v>200</v>
      </c>
      <c r="F18" s="10">
        <v>200</v>
      </c>
      <c r="G18" s="10">
        <v>200</v>
      </c>
      <c r="H18" s="10">
        <v>200</v>
      </c>
      <c r="I18" s="10">
        <v>200</v>
      </c>
      <c r="J18" s="4">
        <v>300</v>
      </c>
      <c r="K18" s="10"/>
      <c r="L18" s="10"/>
      <c r="M18" s="10"/>
      <c r="AE18" s="11"/>
      <c r="AF18" s="13"/>
      <c r="AG18" s="11"/>
      <c r="AH18" s="11"/>
      <c r="AI18" s="11"/>
      <c r="AJ18" s="11"/>
      <c r="AK18" s="11"/>
      <c r="AL18" s="11"/>
      <c r="AM18" s="11"/>
      <c r="AN18" s="11"/>
      <c r="AO18" s="12"/>
    </row>
    <row r="19" spans="1:50" x14ac:dyDescent="0.25">
      <c r="A19" s="3">
        <v>1</v>
      </c>
      <c r="B19" s="9">
        <f t="shared" si="0"/>
        <v>11000000</v>
      </c>
      <c r="C19" s="10">
        <v>100</v>
      </c>
      <c r="D19" s="10">
        <v>150</v>
      </c>
      <c r="E19" s="10">
        <v>150</v>
      </c>
      <c r="F19" s="10">
        <v>150</v>
      </c>
      <c r="G19" s="10">
        <v>150</v>
      </c>
      <c r="H19" s="10">
        <v>150</v>
      </c>
      <c r="I19" s="10">
        <v>150</v>
      </c>
      <c r="J19" s="4">
        <v>200</v>
      </c>
      <c r="K19" s="10"/>
      <c r="L19" s="10"/>
      <c r="M19" s="10"/>
      <c r="AE19" s="11"/>
      <c r="AF19" s="13"/>
      <c r="AG19" s="11"/>
      <c r="AH19" s="11"/>
      <c r="AI19" s="11"/>
      <c r="AJ19" s="11"/>
      <c r="AK19" s="11"/>
      <c r="AL19" s="11"/>
      <c r="AM19" s="11"/>
      <c r="AN19" s="11"/>
      <c r="AO19" s="12"/>
    </row>
    <row r="20" spans="1:50" x14ac:dyDescent="0.25">
      <c r="A20" s="3">
        <v>0.5</v>
      </c>
      <c r="B20" s="9">
        <f t="shared" si="0"/>
        <v>5500000</v>
      </c>
      <c r="C20" s="10">
        <v>100</v>
      </c>
      <c r="D20" s="10">
        <v>150</v>
      </c>
      <c r="E20" s="10">
        <v>150</v>
      </c>
      <c r="F20" s="10">
        <v>150</v>
      </c>
      <c r="G20" s="10">
        <v>150</v>
      </c>
      <c r="H20" s="10">
        <v>150</v>
      </c>
      <c r="I20" s="10">
        <v>150</v>
      </c>
      <c r="J20" s="4">
        <v>200</v>
      </c>
      <c r="K20" s="10"/>
      <c r="L20" s="10"/>
      <c r="M20" s="10"/>
      <c r="AE20" s="11"/>
      <c r="AF20" s="13"/>
      <c r="AG20" s="11"/>
      <c r="AH20" s="11"/>
      <c r="AI20" s="11"/>
      <c r="AJ20" s="11"/>
      <c r="AK20" s="11"/>
      <c r="AL20" s="11"/>
      <c r="AM20" s="11"/>
      <c r="AN20" s="11"/>
      <c r="AO20" s="12"/>
    </row>
    <row r="21" spans="1:50" x14ac:dyDescent="0.25">
      <c r="A21" s="3">
        <v>0.4</v>
      </c>
      <c r="B21" s="9">
        <f t="shared" si="0"/>
        <v>4400000</v>
      </c>
      <c r="C21" s="10">
        <v>100</v>
      </c>
      <c r="D21" s="10">
        <v>100</v>
      </c>
      <c r="E21" s="10">
        <v>100</v>
      </c>
      <c r="F21" s="10">
        <v>150</v>
      </c>
      <c r="G21" s="10">
        <v>150</v>
      </c>
      <c r="H21" s="10">
        <v>150</v>
      </c>
      <c r="I21" s="10">
        <v>150</v>
      </c>
      <c r="J21" s="4">
        <v>150</v>
      </c>
      <c r="K21" s="10"/>
      <c r="L21" s="10"/>
      <c r="M21" s="10"/>
      <c r="T21" s="3"/>
      <c r="AE21" s="11"/>
      <c r="AF21" s="13"/>
      <c r="AG21" s="11"/>
      <c r="AH21" s="11"/>
      <c r="AI21" s="11"/>
      <c r="AJ21" s="11"/>
      <c r="AK21" s="11"/>
      <c r="AL21" s="11"/>
      <c r="AM21" s="11"/>
      <c r="AN21" s="11"/>
      <c r="AO21" s="12"/>
    </row>
    <row r="22" spans="1:50" x14ac:dyDescent="0.25">
      <c r="A22" s="3">
        <v>0.3</v>
      </c>
      <c r="B22" s="9">
        <f t="shared" si="0"/>
        <v>3300000</v>
      </c>
      <c r="C22" s="10">
        <v>100</v>
      </c>
      <c r="D22" s="10">
        <v>100</v>
      </c>
      <c r="E22" s="10">
        <v>100</v>
      </c>
      <c r="F22" s="10">
        <v>100</v>
      </c>
      <c r="G22" s="10">
        <v>100</v>
      </c>
      <c r="H22" s="10">
        <v>100</v>
      </c>
      <c r="I22" s="10">
        <v>150</v>
      </c>
      <c r="J22" s="4">
        <v>150</v>
      </c>
      <c r="K22" s="10"/>
      <c r="L22" s="10"/>
      <c r="M22" s="10"/>
      <c r="T22" s="3"/>
      <c r="AE22" s="11"/>
      <c r="AF22" s="13"/>
      <c r="AG22" s="11"/>
      <c r="AH22" s="11"/>
      <c r="AI22" s="11"/>
      <c r="AJ22" s="11"/>
      <c r="AK22" s="11"/>
      <c r="AL22" s="11"/>
      <c r="AM22" s="11"/>
      <c r="AN22" s="11"/>
      <c r="AO22" s="12"/>
    </row>
    <row r="23" spans="1:50" x14ac:dyDescent="0.25">
      <c r="A23" s="3">
        <v>0.2</v>
      </c>
      <c r="B23" s="9">
        <f t="shared" si="0"/>
        <v>2200000</v>
      </c>
      <c r="C23" s="10">
        <v>50</v>
      </c>
      <c r="D23" s="10">
        <v>100</v>
      </c>
      <c r="E23" s="10">
        <v>100</v>
      </c>
      <c r="F23" s="10">
        <v>100</v>
      </c>
      <c r="G23" s="10">
        <v>100</v>
      </c>
      <c r="H23" s="10">
        <v>100</v>
      </c>
      <c r="I23" s="10">
        <v>100</v>
      </c>
      <c r="J23" s="4">
        <v>150</v>
      </c>
      <c r="K23" s="10"/>
      <c r="L23" s="10"/>
      <c r="M23" s="10"/>
      <c r="T23" s="3"/>
      <c r="AE23" s="11"/>
      <c r="AF23" s="13"/>
      <c r="AG23" s="11"/>
      <c r="AH23" s="11"/>
      <c r="AI23" s="11"/>
      <c r="AJ23" s="11"/>
      <c r="AK23" s="11"/>
      <c r="AL23" s="11"/>
      <c r="AM23" s="11"/>
      <c r="AN23" s="11"/>
      <c r="AO23" s="12"/>
    </row>
    <row r="24" spans="1:50" x14ac:dyDescent="0.25">
      <c r="A24" s="3">
        <v>0.1</v>
      </c>
      <c r="B24" s="9">
        <f t="shared" si="0"/>
        <v>1100000</v>
      </c>
      <c r="C24" s="10">
        <v>50</v>
      </c>
      <c r="D24" s="10">
        <v>100</v>
      </c>
      <c r="E24" s="10">
        <v>100</v>
      </c>
      <c r="F24" s="10">
        <v>100</v>
      </c>
      <c r="G24" s="10">
        <v>100</v>
      </c>
      <c r="H24" s="10">
        <v>100</v>
      </c>
      <c r="I24" s="10">
        <v>100</v>
      </c>
      <c r="J24" s="4">
        <v>100</v>
      </c>
      <c r="K24" s="10"/>
      <c r="L24" s="10"/>
      <c r="M24" s="10"/>
      <c r="AE24" s="11"/>
      <c r="AF24" s="13"/>
      <c r="AG24" s="11"/>
      <c r="AH24" s="11"/>
      <c r="AI24" s="11"/>
      <c r="AJ24" s="11"/>
      <c r="AK24" s="11"/>
      <c r="AL24" s="11"/>
      <c r="AM24" s="11"/>
      <c r="AN24" s="11"/>
      <c r="AO24" s="12"/>
    </row>
    <row r="25" spans="1:50" x14ac:dyDescent="0.25">
      <c r="A25" s="3"/>
      <c r="B25" s="9"/>
      <c r="C25" s="10"/>
      <c r="D25" s="10"/>
      <c r="E25" s="10"/>
      <c r="F25" s="10"/>
      <c r="G25" s="10"/>
      <c r="H25" s="10"/>
      <c r="I25" s="10"/>
      <c r="K25" s="10"/>
      <c r="L25" s="10"/>
      <c r="M25" s="10"/>
      <c r="AE25" s="11"/>
      <c r="AF25" s="13"/>
      <c r="AG25" s="11"/>
      <c r="AH25" s="11"/>
      <c r="AI25" s="11"/>
      <c r="AJ25" s="11"/>
      <c r="AK25" s="11"/>
      <c r="AL25" s="11"/>
      <c r="AM25" s="11"/>
      <c r="AN25" s="11"/>
      <c r="AO25" s="12"/>
    </row>
    <row r="26" spans="1:50" x14ac:dyDescent="0.25">
      <c r="A26" s="1" t="s">
        <v>11</v>
      </c>
      <c r="B26" s="9"/>
      <c r="AE26" s="11"/>
      <c r="AF26" s="13"/>
      <c r="AG26" s="11"/>
      <c r="AH26" s="11"/>
      <c r="AI26" s="11"/>
      <c r="AJ26" s="11"/>
      <c r="AK26" s="11"/>
      <c r="AL26" s="11"/>
      <c r="AM26" s="11"/>
      <c r="AN26" s="11"/>
      <c r="AO26" s="12"/>
    </row>
    <row r="27" spans="1:50" s="2" customFormat="1" x14ac:dyDescent="0.25">
      <c r="A27" s="14"/>
      <c r="B27" s="15"/>
      <c r="C27" s="16" t="s">
        <v>12</v>
      </c>
      <c r="D27" s="17" t="s">
        <v>13</v>
      </c>
      <c r="E27" s="17"/>
      <c r="AE27" s="18"/>
      <c r="AF27" s="19"/>
      <c r="AG27" s="18"/>
      <c r="AH27" s="18"/>
      <c r="AI27" s="18"/>
      <c r="AJ27" s="18"/>
      <c r="AK27" s="18"/>
      <c r="AL27" s="18"/>
      <c r="AM27" s="18"/>
      <c r="AN27" s="18"/>
      <c r="AO27" s="20"/>
      <c r="AR27" s="18"/>
    </row>
    <row r="28" spans="1:50" ht="17.25" customHeight="1" x14ac:dyDescent="0.25">
      <c r="A28" s="16" t="s">
        <v>14</v>
      </c>
      <c r="B28" s="21" t="s">
        <v>15</v>
      </c>
      <c r="C28" s="22" t="s">
        <v>16</v>
      </c>
      <c r="D28" s="16" t="s">
        <v>629</v>
      </c>
      <c r="E28" s="16" t="s">
        <v>630</v>
      </c>
      <c r="AE28" s="11"/>
      <c r="AF28" s="13"/>
      <c r="AG28" s="11"/>
      <c r="AH28" s="11"/>
      <c r="AI28" s="11"/>
      <c r="AJ28" s="11"/>
      <c r="AK28" s="11"/>
      <c r="AL28" s="11"/>
      <c r="AM28" s="11"/>
      <c r="AN28" s="11"/>
      <c r="AO28" s="12"/>
      <c r="AP28" s="11"/>
      <c r="AQ28" s="11"/>
      <c r="AR28" s="11"/>
      <c r="AS28" s="11"/>
      <c r="AT28" s="11"/>
      <c r="AU28" s="11"/>
      <c r="AV28" s="11"/>
      <c r="AW28" s="11"/>
      <c r="AX28" s="11"/>
    </row>
    <row r="29" spans="1:50" x14ac:dyDescent="0.25">
      <c r="A29" s="23" t="s">
        <v>17</v>
      </c>
      <c r="B29" s="23" t="s">
        <v>18</v>
      </c>
      <c r="C29" s="24">
        <v>2.1927297668038412</v>
      </c>
      <c r="D29" s="24">
        <f>'Inflation assumptions'!I5</f>
        <v>1.3137703283931788</v>
      </c>
      <c r="E29" s="25" t="s">
        <v>18</v>
      </c>
      <c r="AE29" s="12"/>
      <c r="AF29" s="12"/>
      <c r="AG29" s="12"/>
      <c r="AH29" s="12"/>
      <c r="AI29" s="12"/>
      <c r="AJ29" s="12"/>
      <c r="AK29" s="12"/>
      <c r="AL29" s="12"/>
      <c r="AM29" s="12"/>
      <c r="AN29" s="12"/>
      <c r="AP29" s="11"/>
      <c r="AQ29" s="11"/>
      <c r="AR29" s="11"/>
      <c r="AS29" s="11"/>
      <c r="AT29" s="11"/>
      <c r="AU29" s="11"/>
      <c r="AV29" s="11"/>
      <c r="AW29" s="11"/>
      <c r="AX29" s="11"/>
    </row>
    <row r="30" spans="1:50" x14ac:dyDescent="0.25">
      <c r="A30" s="3">
        <v>50</v>
      </c>
      <c r="B30" s="9">
        <v>125000</v>
      </c>
      <c r="C30" s="9">
        <f>B30*$C$29</f>
        <v>274091.22085048014</v>
      </c>
      <c r="D30" s="26">
        <f>C30*$D$29</f>
        <v>360092.91322642256</v>
      </c>
      <c r="E30" s="26">
        <f>D30</f>
        <v>360092.91322642256</v>
      </c>
      <c r="F30" s="3"/>
      <c r="I30" s="9"/>
      <c r="AP30" s="11"/>
      <c r="AQ30" s="11"/>
      <c r="AR30" s="11"/>
      <c r="AS30" s="11"/>
      <c r="AT30" s="11"/>
      <c r="AU30" s="11"/>
      <c r="AV30" s="11"/>
      <c r="AW30" s="11"/>
      <c r="AX30" s="11"/>
    </row>
    <row r="31" spans="1:50" x14ac:dyDescent="0.25">
      <c r="A31" s="3">
        <v>100</v>
      </c>
      <c r="B31" s="9">
        <v>150000</v>
      </c>
      <c r="C31" s="9">
        <f t="shared" ref="C31:C36" si="1">B31*$C$29</f>
        <v>328909.4650205762</v>
      </c>
      <c r="D31" s="26">
        <f t="shared" ref="D31:D36" si="2">C31*$D$29</f>
        <v>432111.49587170716</v>
      </c>
      <c r="E31" s="26">
        <f t="shared" ref="E31:E36" si="3">D31</f>
        <v>432111.49587170716</v>
      </c>
      <c r="F31" s="3"/>
      <c r="I31" s="9"/>
      <c r="AP31" s="11"/>
      <c r="AQ31" s="11"/>
      <c r="AR31" s="11"/>
      <c r="AS31" s="11"/>
      <c r="AT31" s="11"/>
      <c r="AU31" s="11"/>
      <c r="AV31" s="11"/>
      <c r="AW31" s="11"/>
      <c r="AX31" s="11"/>
    </row>
    <row r="32" spans="1:50" x14ac:dyDescent="0.25">
      <c r="A32" s="3">
        <v>150</v>
      </c>
      <c r="B32" s="9">
        <v>187500</v>
      </c>
      <c r="C32" s="9">
        <f t="shared" si="1"/>
        <v>411136.83127572021</v>
      </c>
      <c r="D32" s="26">
        <f t="shared" si="2"/>
        <v>540139.36983963381</v>
      </c>
      <c r="E32" s="26">
        <f t="shared" si="3"/>
        <v>540139.36983963381</v>
      </c>
      <c r="I32" s="9"/>
      <c r="AE32" s="3"/>
      <c r="AF32" s="9"/>
      <c r="AP32" s="11"/>
      <c r="AQ32" s="11"/>
      <c r="AR32" s="11"/>
      <c r="AS32" s="11"/>
      <c r="AT32" s="11"/>
      <c r="AU32" s="11"/>
      <c r="AV32" s="11"/>
      <c r="AW32" s="11"/>
      <c r="AX32" s="11"/>
    </row>
    <row r="33" spans="1:50" x14ac:dyDescent="0.25">
      <c r="A33" s="3">
        <v>200</v>
      </c>
      <c r="B33" s="9">
        <v>202500</v>
      </c>
      <c r="C33" s="9">
        <f t="shared" si="1"/>
        <v>444027.77777777787</v>
      </c>
      <c r="D33" s="26">
        <f t="shared" si="2"/>
        <v>583350.51942680462</v>
      </c>
      <c r="E33" s="26">
        <f t="shared" si="3"/>
        <v>583350.51942680462</v>
      </c>
      <c r="I33" s="9"/>
      <c r="AF33" s="9"/>
      <c r="AP33" s="11"/>
      <c r="AQ33" s="11"/>
      <c r="AR33" s="11"/>
      <c r="AS33" s="11"/>
      <c r="AT33" s="11"/>
      <c r="AU33" s="11"/>
      <c r="AV33" s="11"/>
      <c r="AW33" s="11"/>
      <c r="AX33" s="11"/>
    </row>
    <row r="34" spans="1:50" x14ac:dyDescent="0.25">
      <c r="A34" s="3">
        <v>300</v>
      </c>
      <c r="B34" s="9">
        <v>238750</v>
      </c>
      <c r="C34" s="9">
        <f t="shared" si="1"/>
        <v>523514.23182441707</v>
      </c>
      <c r="D34" s="26">
        <f t="shared" si="2"/>
        <v>687777.46426246711</v>
      </c>
      <c r="E34" s="26">
        <f t="shared" si="3"/>
        <v>687777.46426246711</v>
      </c>
      <c r="I34" s="9"/>
      <c r="AP34" s="11"/>
      <c r="AQ34" s="11"/>
      <c r="AR34" s="11"/>
      <c r="AS34" s="11"/>
      <c r="AT34" s="11"/>
      <c r="AU34" s="11"/>
      <c r="AV34" s="11"/>
      <c r="AW34" s="11"/>
      <c r="AX34" s="11"/>
    </row>
    <row r="35" spans="1:50" x14ac:dyDescent="0.25">
      <c r="A35" s="3">
        <v>450</v>
      </c>
      <c r="B35" s="9">
        <v>355000</v>
      </c>
      <c r="C35" s="9">
        <f t="shared" si="1"/>
        <v>778419.06721536361</v>
      </c>
      <c r="D35" s="26">
        <f t="shared" si="2"/>
        <v>1022663.8735630402</v>
      </c>
      <c r="E35" s="26">
        <f t="shared" si="3"/>
        <v>1022663.8735630402</v>
      </c>
      <c r="I35" s="9"/>
      <c r="AP35" s="11"/>
      <c r="AQ35" s="11"/>
      <c r="AR35" s="11"/>
      <c r="AS35" s="11"/>
      <c r="AT35" s="11"/>
      <c r="AU35" s="11"/>
      <c r="AV35" s="11"/>
      <c r="AW35" s="11"/>
      <c r="AX35" s="11"/>
    </row>
    <row r="36" spans="1:50" x14ac:dyDescent="0.25">
      <c r="A36" s="3">
        <v>600</v>
      </c>
      <c r="B36" s="9">
        <v>414000</v>
      </c>
      <c r="C36" s="9">
        <f t="shared" si="1"/>
        <v>907790.12345679023</v>
      </c>
      <c r="D36" s="26">
        <f t="shared" si="2"/>
        <v>1192627.7286059116</v>
      </c>
      <c r="E36" s="26">
        <f t="shared" si="3"/>
        <v>1192627.7286059116</v>
      </c>
      <c r="I36" s="9"/>
      <c r="AE36" s="11"/>
      <c r="AF36" s="11"/>
      <c r="AG36" s="12"/>
      <c r="AP36" s="11"/>
      <c r="AQ36" s="11"/>
      <c r="AR36" s="11"/>
      <c r="AS36" s="11"/>
      <c r="AT36" s="11"/>
      <c r="AU36" s="11"/>
      <c r="AV36" s="11"/>
      <c r="AW36" s="11"/>
      <c r="AX36" s="11"/>
    </row>
    <row r="37" spans="1:50" x14ac:dyDescent="0.25">
      <c r="A37" s="5">
        <v>610</v>
      </c>
      <c r="B37" s="6"/>
      <c r="C37" s="27">
        <v>1600000</v>
      </c>
      <c r="D37" s="27">
        <f>C37*$D$29</f>
        <v>2102032.5254290858</v>
      </c>
      <c r="E37" s="27">
        <f>D37*C46/100</f>
        <v>1979996.0914224545</v>
      </c>
      <c r="I37" s="9"/>
      <c r="AE37" s="11"/>
      <c r="AF37" s="11"/>
      <c r="AG37" s="12"/>
      <c r="AP37" s="11"/>
      <c r="AQ37" s="11"/>
      <c r="AR37" s="11"/>
      <c r="AS37" s="11"/>
      <c r="AT37" s="11"/>
      <c r="AU37" s="11"/>
      <c r="AV37" s="11"/>
      <c r="AW37" s="11"/>
      <c r="AX37" s="11"/>
    </row>
    <row r="38" spans="1:50" x14ac:dyDescent="0.25">
      <c r="A38" s="5">
        <v>915</v>
      </c>
      <c r="B38" s="6"/>
      <c r="C38" s="27">
        <v>2500000</v>
      </c>
      <c r="D38" s="27">
        <f t="shared" ref="D38" si="4">C38*$D$29</f>
        <v>3284425.820982947</v>
      </c>
      <c r="E38" s="27">
        <f t="shared" ref="E38:E39" si="5">D38*C47/100</f>
        <v>3162389.3869763161</v>
      </c>
      <c r="I38" s="9"/>
      <c r="AE38" s="11"/>
      <c r="AF38" s="11"/>
      <c r="AG38" s="12"/>
      <c r="AP38" s="11"/>
      <c r="AQ38" s="11"/>
      <c r="AR38" s="11"/>
      <c r="AS38" s="11"/>
      <c r="AT38" s="11"/>
      <c r="AU38" s="11"/>
      <c r="AV38" s="11"/>
      <c r="AW38" s="11"/>
      <c r="AX38" s="11"/>
    </row>
    <row r="39" spans="1:50" x14ac:dyDescent="0.25">
      <c r="A39" s="5">
        <v>1220</v>
      </c>
      <c r="B39" s="6"/>
      <c r="C39" s="27">
        <v>3500000</v>
      </c>
      <c r="D39" s="27">
        <f>C39*$D$29</f>
        <v>4598196.149376126</v>
      </c>
      <c r="E39" s="27">
        <f t="shared" si="5"/>
        <v>4476159.7153694946</v>
      </c>
      <c r="I39" s="9"/>
      <c r="AE39" s="11"/>
      <c r="AF39" s="11"/>
      <c r="AG39" s="12"/>
      <c r="AP39" s="11"/>
      <c r="AQ39" s="11"/>
      <c r="AR39" s="11"/>
      <c r="AS39" s="11"/>
      <c r="AT39" s="11"/>
      <c r="AU39" s="11"/>
      <c r="AV39" s="11"/>
      <c r="AW39" s="11"/>
      <c r="AX39" s="11"/>
    </row>
    <row r="40" spans="1:50" x14ac:dyDescent="0.25">
      <c r="A40" s="3"/>
      <c r="B40" s="9"/>
      <c r="AE40" s="11"/>
      <c r="AF40" s="11"/>
      <c r="AG40" s="12"/>
      <c r="AP40" s="11"/>
      <c r="AQ40" s="11"/>
      <c r="AR40" s="11"/>
      <c r="AS40" s="11"/>
      <c r="AT40" s="11"/>
      <c r="AU40" s="11"/>
      <c r="AV40" s="11"/>
      <c r="AW40" s="11"/>
      <c r="AX40" s="11"/>
    </row>
    <row r="41" spans="1:50" x14ac:dyDescent="0.25">
      <c r="A41" s="3"/>
      <c r="B41" s="9"/>
      <c r="AE41" s="11"/>
      <c r="AF41" s="11"/>
      <c r="AG41" s="12"/>
      <c r="AP41" s="11"/>
      <c r="AQ41" s="11"/>
      <c r="AR41" s="11"/>
      <c r="AS41" s="11"/>
      <c r="AT41" s="11"/>
      <c r="AU41" s="11"/>
      <c r="AV41" s="11"/>
      <c r="AW41" s="11"/>
      <c r="AX41" s="11"/>
    </row>
    <row r="42" spans="1:50" x14ac:dyDescent="0.25">
      <c r="A42" s="3"/>
      <c r="B42" s="9"/>
      <c r="AE42" s="11"/>
      <c r="AF42" s="11"/>
      <c r="AG42" s="12"/>
      <c r="AP42" s="11"/>
      <c r="AQ42" s="11"/>
      <c r="AR42" s="11"/>
      <c r="AS42" s="11"/>
      <c r="AT42" s="11"/>
      <c r="AU42" s="11"/>
      <c r="AV42" s="11"/>
      <c r="AW42" s="11"/>
      <c r="AX42" s="11"/>
    </row>
    <row r="43" spans="1:50" x14ac:dyDescent="0.25">
      <c r="A43" s="3"/>
      <c r="B43" s="9"/>
      <c r="AE43" s="11"/>
      <c r="AF43" s="11"/>
      <c r="AG43" s="12"/>
      <c r="AP43" s="11"/>
      <c r="AQ43" s="11"/>
      <c r="AR43" s="11"/>
      <c r="AS43" s="11"/>
      <c r="AT43" s="11"/>
      <c r="AU43" s="11"/>
      <c r="AV43" s="11"/>
      <c r="AW43" s="11"/>
      <c r="AX43" s="11"/>
    </row>
    <row r="44" spans="1:50" x14ac:dyDescent="0.25">
      <c r="A44" s="3"/>
      <c r="B44" s="9"/>
      <c r="AE44" s="11"/>
      <c r="AF44" s="11"/>
      <c r="AG44" s="12"/>
      <c r="AP44" s="11"/>
      <c r="AQ44" s="11"/>
      <c r="AR44" s="11"/>
      <c r="AS44" s="11"/>
      <c r="AT44" s="11"/>
      <c r="AU44" s="11"/>
      <c r="AV44" s="11"/>
      <c r="AW44" s="11"/>
      <c r="AX44" s="11"/>
    </row>
    <row r="45" spans="1:50" ht="49.5" customHeight="1" x14ac:dyDescent="0.25">
      <c r="A45" s="16" t="s">
        <v>19</v>
      </c>
      <c r="B45" s="16" t="s">
        <v>20</v>
      </c>
      <c r="C45" s="28" t="s">
        <v>21</v>
      </c>
      <c r="AE45" s="11"/>
      <c r="AF45" s="11"/>
      <c r="AG45" s="12"/>
      <c r="AP45" s="11"/>
      <c r="AQ45" s="11"/>
      <c r="AR45" s="11"/>
      <c r="AS45" s="11"/>
      <c r="AT45" s="11"/>
      <c r="AU45" s="11"/>
      <c r="AV45" s="11"/>
      <c r="AW45" s="11"/>
      <c r="AX45" s="11"/>
    </row>
    <row r="46" spans="1:50" x14ac:dyDescent="0.25">
      <c r="A46" s="29">
        <v>610</v>
      </c>
      <c r="B46" s="30">
        <f>D37</f>
        <v>2102032.5254290858</v>
      </c>
      <c r="C46" s="31">
        <f>100-(B95/(B46*J94)*100)</f>
        <v>94.194360337896285</v>
      </c>
      <c r="AE46" s="11"/>
      <c r="AF46" s="11"/>
      <c r="AG46" s="12"/>
      <c r="AP46" s="11"/>
      <c r="AQ46" s="11"/>
      <c r="AR46" s="11"/>
      <c r="AS46" s="11"/>
      <c r="AT46" s="11"/>
      <c r="AU46" s="11"/>
      <c r="AV46" s="11"/>
      <c r="AW46" s="11"/>
      <c r="AX46" s="11"/>
    </row>
    <row r="47" spans="1:50" x14ac:dyDescent="0.25">
      <c r="A47" s="29">
        <v>915</v>
      </c>
      <c r="B47" s="30">
        <f t="shared" ref="B47:B48" si="6">D38</f>
        <v>3284425.820982947</v>
      </c>
      <c r="C47" s="32">
        <f>100-(B96/(B47*J94)*100)</f>
        <v>96.284390616253631</v>
      </c>
      <c r="AE47" s="11"/>
      <c r="AF47" s="11"/>
      <c r="AG47" s="12"/>
      <c r="AP47" s="11"/>
      <c r="AQ47" s="11"/>
      <c r="AR47" s="11"/>
      <c r="AS47" s="11"/>
      <c r="AT47" s="11"/>
      <c r="AU47" s="11"/>
      <c r="AV47" s="11"/>
      <c r="AW47" s="11"/>
      <c r="AX47" s="11"/>
    </row>
    <row r="48" spans="1:50" x14ac:dyDescent="0.25">
      <c r="A48" s="29">
        <v>1220</v>
      </c>
      <c r="B48" s="30">
        <f t="shared" si="6"/>
        <v>4598196.149376126</v>
      </c>
      <c r="C48" s="32">
        <f>100-(B97/(B48*J94)*100)</f>
        <v>97.345993297324014</v>
      </c>
      <c r="AE48" s="11"/>
      <c r="AF48" s="11"/>
      <c r="AG48" s="12"/>
      <c r="AP48" s="11"/>
      <c r="AQ48" s="11"/>
      <c r="AR48" s="11"/>
      <c r="AS48" s="11"/>
      <c r="AT48" s="11"/>
      <c r="AU48" s="11"/>
      <c r="AV48" s="11"/>
      <c r="AW48" s="11"/>
      <c r="AX48" s="11"/>
    </row>
    <row r="49" spans="1:50" x14ac:dyDescent="0.25">
      <c r="A49" s="3"/>
      <c r="B49" s="9"/>
      <c r="AE49" s="11"/>
      <c r="AF49" s="11"/>
      <c r="AG49" s="12"/>
      <c r="AP49" s="11"/>
      <c r="AQ49" s="11"/>
      <c r="AR49" s="11"/>
      <c r="AS49" s="11"/>
      <c r="AT49" s="11"/>
      <c r="AU49" s="11"/>
      <c r="AV49" s="11"/>
      <c r="AW49" s="11"/>
      <c r="AX49" s="11"/>
    </row>
    <row r="50" spans="1:50" x14ac:dyDescent="0.25">
      <c r="A50" s="3"/>
      <c r="B50" s="9"/>
      <c r="AE50" s="11"/>
      <c r="AF50" s="11"/>
      <c r="AG50" s="12"/>
      <c r="AP50" s="11"/>
      <c r="AQ50" s="11"/>
      <c r="AR50" s="11"/>
      <c r="AS50" s="11"/>
      <c r="AT50" s="11"/>
      <c r="AU50" s="11"/>
      <c r="AV50" s="11"/>
      <c r="AW50" s="11"/>
      <c r="AX50" s="11"/>
    </row>
    <row r="51" spans="1:50" x14ac:dyDescent="0.25">
      <c r="A51" s="3"/>
      <c r="B51" s="9"/>
      <c r="C51" s="33"/>
      <c r="AE51" s="11"/>
      <c r="AF51" s="11"/>
      <c r="AG51" s="12"/>
      <c r="AP51" s="11"/>
      <c r="AQ51" s="11"/>
      <c r="AR51" s="11"/>
      <c r="AS51" s="11"/>
      <c r="AT51" s="11"/>
      <c r="AU51" s="11"/>
      <c r="AV51" s="11"/>
      <c r="AW51" s="11"/>
      <c r="AX51" s="11"/>
    </row>
    <row r="52" spans="1:50" x14ac:dyDescent="0.25">
      <c r="A52" s="3"/>
      <c r="B52" s="9"/>
      <c r="C52" s="34"/>
      <c r="AE52" s="11"/>
      <c r="AF52" s="11"/>
      <c r="AG52" s="12"/>
      <c r="AP52" s="11"/>
      <c r="AQ52" s="11"/>
      <c r="AR52" s="11"/>
      <c r="AS52" s="11"/>
      <c r="AT52" s="11"/>
      <c r="AU52" s="11"/>
      <c r="AV52" s="11"/>
      <c r="AW52" s="11"/>
      <c r="AX52" s="11"/>
    </row>
    <row r="53" spans="1:50" x14ac:dyDescent="0.25">
      <c r="A53" s="3"/>
      <c r="B53" s="9"/>
      <c r="AE53" s="11"/>
      <c r="AF53" s="11"/>
      <c r="AG53" s="12"/>
      <c r="AP53" s="11"/>
      <c r="AQ53" s="11"/>
      <c r="AR53" s="11"/>
      <c r="AS53" s="11"/>
      <c r="AT53" s="11"/>
      <c r="AU53" s="11"/>
      <c r="AV53" s="11"/>
      <c r="AW53" s="11"/>
      <c r="AX53" s="11"/>
    </row>
    <row r="54" spans="1:50" x14ac:dyDescent="0.25">
      <c r="A54" s="35" t="s">
        <v>22</v>
      </c>
      <c r="B54" s="9"/>
      <c r="AE54" s="11"/>
      <c r="AF54" s="11"/>
      <c r="AG54" s="12"/>
      <c r="AP54" s="11"/>
      <c r="AQ54" s="11"/>
      <c r="AR54" s="11"/>
      <c r="AS54" s="11"/>
      <c r="AT54" s="11"/>
      <c r="AU54" s="11"/>
      <c r="AV54" s="11"/>
      <c r="AW54" s="11"/>
      <c r="AX54" s="11"/>
    </row>
    <row r="55" spans="1:50" x14ac:dyDescent="0.25">
      <c r="D55" s="185" t="s">
        <v>13</v>
      </c>
      <c r="E55" s="185"/>
      <c r="AE55" s="11"/>
      <c r="AF55" s="11"/>
      <c r="AG55" s="12"/>
      <c r="AP55" s="11"/>
      <c r="AQ55" s="11"/>
      <c r="AR55" s="11"/>
      <c r="AS55" s="11"/>
      <c r="AT55" s="11"/>
      <c r="AU55" s="11"/>
      <c r="AV55" s="11"/>
      <c r="AW55" s="11"/>
      <c r="AX55" s="11"/>
    </row>
    <row r="56" spans="1:50" x14ac:dyDescent="0.25">
      <c r="D56" s="25" t="s">
        <v>23</v>
      </c>
      <c r="E56" s="25" t="str">
        <f>D28</f>
        <v>18/19 Prices</v>
      </c>
      <c r="AE56" s="11"/>
      <c r="AF56" s="11"/>
      <c r="AG56" s="12"/>
      <c r="AP56" s="11"/>
      <c r="AQ56" s="11"/>
      <c r="AR56" s="11"/>
      <c r="AS56" s="11"/>
      <c r="AT56" s="11"/>
      <c r="AU56" s="11"/>
      <c r="AV56" s="11"/>
      <c r="AW56" s="11"/>
      <c r="AX56" s="11"/>
    </row>
    <row r="57" spans="1:50" x14ac:dyDescent="0.25">
      <c r="A57" s="1" t="s">
        <v>24</v>
      </c>
      <c r="B57" s="11" t="s">
        <v>25</v>
      </c>
      <c r="C57" s="11" t="s">
        <v>26</v>
      </c>
      <c r="D57" s="25">
        <f>'Inflation assumptions'!H5</f>
        <v>1.3175919800519054</v>
      </c>
      <c r="E57" s="24">
        <f>D29</f>
        <v>1.3137703283931788</v>
      </c>
      <c r="F57" s="3"/>
      <c r="G57" s="3"/>
      <c r="AE57" s="11"/>
      <c r="AF57" s="11"/>
      <c r="AG57" s="12"/>
      <c r="AP57" s="11"/>
      <c r="AQ57" s="11"/>
      <c r="AR57" s="11"/>
      <c r="AS57" s="11"/>
      <c r="AT57" s="11"/>
      <c r="AU57" s="11"/>
      <c r="AV57" s="11"/>
      <c r="AW57" s="11"/>
      <c r="AX57" s="11"/>
    </row>
    <row r="58" spans="1:50" x14ac:dyDescent="0.25">
      <c r="A58" s="5">
        <v>60</v>
      </c>
      <c r="B58" s="37">
        <v>1220</v>
      </c>
      <c r="C58" s="38">
        <v>3525</v>
      </c>
      <c r="D58" s="38">
        <f>C58*$D$57</f>
        <v>4644.5117296829667</v>
      </c>
      <c r="E58" s="39">
        <f>D58*$E$57</f>
        <v>6101.8217003315622</v>
      </c>
      <c r="F58" s="3"/>
      <c r="G58" s="3"/>
      <c r="H58" s="2"/>
      <c r="AE58" s="11"/>
      <c r="AF58" s="11"/>
      <c r="AG58" s="12"/>
      <c r="AP58" s="11"/>
      <c r="AQ58" s="11"/>
      <c r="AR58" s="11"/>
      <c r="AS58" s="11"/>
      <c r="AT58" s="11"/>
      <c r="AU58" s="11"/>
      <c r="AV58" s="11"/>
      <c r="AW58" s="11"/>
      <c r="AX58" s="11"/>
    </row>
    <row r="59" spans="1:50" x14ac:dyDescent="0.25">
      <c r="A59" s="5">
        <v>50</v>
      </c>
      <c r="B59" s="37">
        <v>915</v>
      </c>
      <c r="C59" s="38">
        <v>3525</v>
      </c>
      <c r="D59" s="38">
        <f t="shared" ref="D59:D76" si="7">C59*$D$57</f>
        <v>4644.5117296829667</v>
      </c>
      <c r="E59" s="39">
        <f t="shared" ref="E59:E76" si="8">D59*$E$57</f>
        <v>6101.8217003315622</v>
      </c>
      <c r="F59" s="3"/>
      <c r="G59" s="3"/>
      <c r="AE59" s="11"/>
      <c r="AF59" s="11"/>
      <c r="AG59" s="12"/>
      <c r="AP59" s="11"/>
      <c r="AQ59" s="11"/>
      <c r="AR59" s="11"/>
      <c r="AS59" s="11"/>
      <c r="AT59" s="11"/>
      <c r="AU59" s="11"/>
      <c r="AV59" s="11"/>
      <c r="AW59" s="11"/>
      <c r="AX59" s="11"/>
    </row>
    <row r="60" spans="1:50" x14ac:dyDescent="0.25">
      <c r="A60" s="5">
        <v>40</v>
      </c>
      <c r="B60" s="37">
        <v>915</v>
      </c>
      <c r="C60" s="38">
        <v>3525</v>
      </c>
      <c r="D60" s="38">
        <f t="shared" si="7"/>
        <v>4644.5117296829667</v>
      </c>
      <c r="E60" s="39">
        <f t="shared" si="8"/>
        <v>6101.8217003315622</v>
      </c>
      <c r="F60" s="3"/>
      <c r="G60" s="3"/>
      <c r="AE60" s="11"/>
      <c r="AF60" s="11"/>
      <c r="AG60" s="12"/>
      <c r="AP60" s="11"/>
      <c r="AQ60" s="11"/>
      <c r="AR60" s="11"/>
      <c r="AS60" s="11"/>
      <c r="AT60" s="11"/>
      <c r="AU60" s="11"/>
      <c r="AV60" s="11"/>
      <c r="AW60" s="11"/>
      <c r="AX60" s="11"/>
    </row>
    <row r="61" spans="1:50" x14ac:dyDescent="0.25">
      <c r="A61" s="5">
        <v>30</v>
      </c>
      <c r="B61" s="37">
        <v>600</v>
      </c>
      <c r="C61" s="38">
        <v>3525</v>
      </c>
      <c r="D61" s="38">
        <f t="shared" si="7"/>
        <v>4644.5117296829667</v>
      </c>
      <c r="E61" s="39">
        <f t="shared" si="8"/>
        <v>6101.8217003315622</v>
      </c>
      <c r="F61" s="3"/>
      <c r="G61" s="3"/>
      <c r="AE61" s="11"/>
      <c r="AF61" s="11"/>
      <c r="AG61" s="12"/>
      <c r="AP61" s="11"/>
      <c r="AQ61" s="11"/>
      <c r="AR61" s="11"/>
      <c r="AS61" s="11"/>
      <c r="AT61" s="11"/>
      <c r="AU61" s="11"/>
      <c r="AV61" s="11"/>
      <c r="AW61" s="11"/>
      <c r="AX61" s="11"/>
    </row>
    <row r="62" spans="1:50" x14ac:dyDescent="0.25">
      <c r="A62" s="5">
        <v>20</v>
      </c>
      <c r="B62" s="37">
        <v>600</v>
      </c>
      <c r="C62" s="38">
        <v>3525</v>
      </c>
      <c r="D62" s="38">
        <f t="shared" si="7"/>
        <v>4644.5117296829667</v>
      </c>
      <c r="E62" s="39">
        <f t="shared" si="8"/>
        <v>6101.8217003315622</v>
      </c>
      <c r="F62" s="3"/>
      <c r="G62" s="3"/>
      <c r="AE62" s="11"/>
      <c r="AF62" s="11"/>
      <c r="AG62" s="12"/>
      <c r="AP62" s="11"/>
      <c r="AQ62" s="11"/>
      <c r="AR62" s="11"/>
      <c r="AS62" s="11"/>
      <c r="AT62" s="11"/>
      <c r="AU62" s="11"/>
      <c r="AV62" s="11"/>
      <c r="AW62" s="11"/>
      <c r="AX62" s="11"/>
    </row>
    <row r="63" spans="1:50" x14ac:dyDescent="0.25">
      <c r="A63" s="3">
        <v>15</v>
      </c>
      <c r="B63" s="40">
        <v>600</v>
      </c>
      <c r="C63" s="40">
        <v>3525</v>
      </c>
      <c r="D63" s="40">
        <f t="shared" si="7"/>
        <v>4644.5117296829667</v>
      </c>
      <c r="E63" s="41">
        <f t="shared" si="8"/>
        <v>6101.8217003315622</v>
      </c>
      <c r="F63" s="41"/>
      <c r="G63" s="41"/>
      <c r="AE63" s="11"/>
      <c r="AF63" s="11"/>
      <c r="AG63" s="12"/>
      <c r="AP63" s="11"/>
      <c r="AQ63" s="11"/>
      <c r="AR63" s="11"/>
      <c r="AS63" s="11"/>
      <c r="AT63" s="11"/>
      <c r="AU63" s="11"/>
      <c r="AV63" s="11"/>
      <c r="AW63" s="11"/>
      <c r="AX63" s="11"/>
    </row>
    <row r="64" spans="1:50" x14ac:dyDescent="0.25">
      <c r="A64" s="3">
        <v>12</v>
      </c>
      <c r="B64" s="40">
        <v>450</v>
      </c>
      <c r="C64" s="40">
        <v>3130</v>
      </c>
      <c r="D64" s="40">
        <f t="shared" si="7"/>
        <v>4124.0628975624641</v>
      </c>
      <c r="E64" s="41">
        <f t="shared" si="8"/>
        <v>5418.071467244763</v>
      </c>
      <c r="F64" s="41"/>
      <c r="G64" s="41"/>
      <c r="AE64" s="11"/>
      <c r="AF64" s="11"/>
      <c r="AG64" s="12"/>
      <c r="AP64" s="11"/>
      <c r="AQ64" s="11"/>
      <c r="AR64" s="11"/>
      <c r="AS64" s="11"/>
      <c r="AT64" s="11"/>
      <c r="AU64" s="11"/>
      <c r="AV64" s="11"/>
      <c r="AW64" s="11"/>
      <c r="AX64" s="11"/>
    </row>
    <row r="65" spans="1:50" x14ac:dyDescent="0.25">
      <c r="A65" s="3">
        <v>10</v>
      </c>
      <c r="B65" s="40">
        <v>450</v>
      </c>
      <c r="C65" s="40">
        <v>2930</v>
      </c>
      <c r="D65" s="40">
        <f t="shared" si="7"/>
        <v>3860.5445015520827</v>
      </c>
      <c r="E65" s="41">
        <f t="shared" si="8"/>
        <v>5071.8688175805601</v>
      </c>
      <c r="F65" s="41"/>
      <c r="G65" s="41"/>
      <c r="AE65" s="11"/>
      <c r="AF65" s="11"/>
      <c r="AG65" s="12"/>
      <c r="AP65" s="11"/>
      <c r="AQ65" s="11"/>
      <c r="AR65" s="11"/>
      <c r="AS65" s="11"/>
      <c r="AT65" s="11"/>
      <c r="AU65" s="11"/>
      <c r="AV65" s="11"/>
      <c r="AW65" s="11"/>
      <c r="AX65" s="11"/>
    </row>
    <row r="66" spans="1:50" x14ac:dyDescent="0.25">
      <c r="A66" s="3">
        <v>7</v>
      </c>
      <c r="B66" s="40">
        <v>450</v>
      </c>
      <c r="C66" s="40">
        <v>2630</v>
      </c>
      <c r="D66" s="40">
        <f t="shared" si="7"/>
        <v>3465.2669075365111</v>
      </c>
      <c r="E66" s="41">
        <f t="shared" si="8"/>
        <v>4552.5648430842575</v>
      </c>
      <c r="F66" s="41"/>
      <c r="G66" s="41"/>
      <c r="AE66" s="11"/>
      <c r="AF66" s="11"/>
      <c r="AG66" s="12"/>
      <c r="AP66" s="11"/>
      <c r="AQ66" s="11"/>
      <c r="AR66" s="11"/>
      <c r="AS66" s="11"/>
      <c r="AT66" s="11"/>
      <c r="AU66" s="11"/>
      <c r="AV66" s="11"/>
      <c r="AW66" s="11"/>
      <c r="AX66" s="11"/>
    </row>
    <row r="67" spans="1:50" x14ac:dyDescent="0.25">
      <c r="A67" s="3">
        <v>5</v>
      </c>
      <c r="B67" s="40">
        <v>450</v>
      </c>
      <c r="C67" s="40">
        <v>2630</v>
      </c>
      <c r="D67" s="40">
        <f t="shared" si="7"/>
        <v>3465.2669075365111</v>
      </c>
      <c r="E67" s="41">
        <f t="shared" si="8"/>
        <v>4552.5648430842575</v>
      </c>
      <c r="F67" s="41"/>
      <c r="G67" s="41"/>
      <c r="AE67" s="11"/>
      <c r="AF67" s="11"/>
      <c r="AG67" s="12"/>
      <c r="AP67" s="11"/>
      <c r="AQ67" s="11"/>
      <c r="AR67" s="11"/>
      <c r="AS67" s="11"/>
      <c r="AT67" s="11"/>
      <c r="AU67" s="11"/>
      <c r="AV67" s="11"/>
      <c r="AW67" s="11"/>
      <c r="AX67" s="11"/>
    </row>
    <row r="68" spans="1:50" x14ac:dyDescent="0.25">
      <c r="A68" s="3">
        <v>4</v>
      </c>
      <c r="B68" s="40">
        <v>300</v>
      </c>
      <c r="C68" s="40">
        <v>2275</v>
      </c>
      <c r="D68" s="40">
        <f t="shared" si="7"/>
        <v>2997.5217546180847</v>
      </c>
      <c r="E68" s="41">
        <f t="shared" si="8"/>
        <v>3938.0551399302985</v>
      </c>
      <c r="F68" s="41"/>
      <c r="G68" s="41"/>
      <c r="AE68" s="11"/>
      <c r="AF68" s="11"/>
      <c r="AG68" s="12"/>
      <c r="AP68" s="11"/>
      <c r="AQ68" s="11"/>
      <c r="AR68" s="11"/>
      <c r="AS68" s="11"/>
      <c r="AT68" s="11"/>
      <c r="AU68" s="11"/>
      <c r="AV68" s="11"/>
      <c r="AW68" s="11"/>
      <c r="AX68" s="11"/>
    </row>
    <row r="69" spans="1:50" x14ac:dyDescent="0.25">
      <c r="A69" s="3">
        <v>3</v>
      </c>
      <c r="B69" s="40">
        <v>300</v>
      </c>
      <c r="C69" s="40">
        <v>1940</v>
      </c>
      <c r="D69" s="40">
        <f t="shared" si="7"/>
        <v>2556.1284413006965</v>
      </c>
      <c r="E69" s="41">
        <f t="shared" si="8"/>
        <v>3358.1657017427601</v>
      </c>
      <c r="F69" s="41"/>
      <c r="G69" s="41"/>
      <c r="AE69" s="11"/>
      <c r="AF69" s="11"/>
      <c r="AG69" s="12"/>
      <c r="AP69" s="11"/>
      <c r="AQ69" s="11"/>
      <c r="AR69" s="11"/>
      <c r="AS69" s="11"/>
      <c r="AT69" s="11"/>
      <c r="AU69" s="11"/>
      <c r="AV69" s="11"/>
      <c r="AW69" s="11"/>
      <c r="AX69" s="11"/>
    </row>
    <row r="70" spans="1:50" x14ac:dyDescent="0.25">
      <c r="A70" s="3">
        <v>2</v>
      </c>
      <c r="B70" s="40">
        <v>200</v>
      </c>
      <c r="C70" s="40">
        <v>1905</v>
      </c>
      <c r="D70" s="40">
        <f t="shared" si="7"/>
        <v>2510.0127219988799</v>
      </c>
      <c r="E70" s="41">
        <f t="shared" si="8"/>
        <v>3297.5802380515252</v>
      </c>
      <c r="F70" s="41"/>
      <c r="G70" s="41"/>
      <c r="AE70" s="11"/>
      <c r="AF70" s="11"/>
      <c r="AG70" s="12"/>
      <c r="AP70" s="11"/>
      <c r="AQ70" s="11"/>
      <c r="AR70" s="11"/>
      <c r="AS70" s="11"/>
      <c r="AT70" s="11"/>
      <c r="AU70" s="11"/>
      <c r="AV70" s="11"/>
      <c r="AW70" s="11"/>
      <c r="AX70" s="11"/>
    </row>
    <row r="71" spans="1:50" x14ac:dyDescent="0.25">
      <c r="A71" s="3">
        <v>1</v>
      </c>
      <c r="B71" s="40">
        <v>150</v>
      </c>
      <c r="C71" s="40">
        <v>1505</v>
      </c>
      <c r="D71" s="40">
        <f t="shared" si="7"/>
        <v>1982.9759299781176</v>
      </c>
      <c r="E71" s="41">
        <f t="shared" si="8"/>
        <v>2605.1749387231207</v>
      </c>
      <c r="F71" s="41"/>
      <c r="G71" s="41"/>
      <c r="AE71" s="11"/>
      <c r="AF71" s="11"/>
      <c r="AG71" s="12"/>
      <c r="AP71" s="11"/>
      <c r="AQ71" s="11"/>
      <c r="AR71" s="11"/>
      <c r="AS71" s="11"/>
      <c r="AT71" s="11"/>
      <c r="AU71" s="11"/>
      <c r="AV71" s="11"/>
      <c r="AW71" s="11"/>
      <c r="AX71" s="11"/>
    </row>
    <row r="72" spans="1:50" x14ac:dyDescent="0.25">
      <c r="A72" s="3">
        <v>0.5</v>
      </c>
      <c r="B72" s="40">
        <v>100</v>
      </c>
      <c r="C72" s="40">
        <v>1095</v>
      </c>
      <c r="D72" s="40">
        <f t="shared" si="7"/>
        <v>1442.7632181568363</v>
      </c>
      <c r="E72" s="41">
        <f t="shared" si="8"/>
        <v>1895.4595069115062</v>
      </c>
      <c r="F72" s="41"/>
      <c r="G72" s="41"/>
      <c r="AE72" s="11"/>
      <c r="AF72" s="11"/>
      <c r="AG72" s="12"/>
      <c r="AP72" s="11"/>
      <c r="AQ72" s="11"/>
      <c r="AR72" s="11"/>
      <c r="AS72" s="11"/>
      <c r="AT72" s="11"/>
      <c r="AU72" s="11"/>
      <c r="AV72" s="11"/>
      <c r="AW72" s="11"/>
      <c r="AX72" s="11"/>
    </row>
    <row r="73" spans="1:50" x14ac:dyDescent="0.25">
      <c r="A73" s="3">
        <v>0.4</v>
      </c>
      <c r="B73" s="40">
        <v>100</v>
      </c>
      <c r="C73" s="40">
        <v>1095</v>
      </c>
      <c r="D73" s="40">
        <f t="shared" si="7"/>
        <v>1442.7632181568363</v>
      </c>
      <c r="E73" s="41">
        <f t="shared" si="8"/>
        <v>1895.4595069115062</v>
      </c>
      <c r="F73" s="41"/>
      <c r="G73" s="41"/>
      <c r="AE73" s="11"/>
      <c r="AF73" s="11"/>
      <c r="AG73" s="12"/>
      <c r="AP73" s="11"/>
      <c r="AQ73" s="11"/>
      <c r="AR73" s="11"/>
      <c r="AS73" s="11"/>
      <c r="AT73" s="11"/>
      <c r="AU73" s="11"/>
      <c r="AV73" s="11"/>
      <c r="AW73" s="11"/>
      <c r="AX73" s="11"/>
    </row>
    <row r="74" spans="1:50" x14ac:dyDescent="0.25">
      <c r="A74" s="3">
        <v>0.3</v>
      </c>
      <c r="B74" s="40">
        <v>100</v>
      </c>
      <c r="C74" s="40">
        <v>915</v>
      </c>
      <c r="D74" s="40">
        <f t="shared" si="7"/>
        <v>1205.5966617474935</v>
      </c>
      <c r="E74" s="41">
        <f t="shared" si="8"/>
        <v>1583.8771222137245</v>
      </c>
      <c r="F74" s="41"/>
      <c r="G74" s="41"/>
      <c r="AE74" s="11"/>
      <c r="AF74" s="11"/>
      <c r="AG74" s="12"/>
      <c r="AP74" s="11"/>
      <c r="AQ74" s="11"/>
      <c r="AR74" s="11"/>
      <c r="AS74" s="11"/>
      <c r="AT74" s="11"/>
      <c r="AU74" s="11"/>
      <c r="AV74" s="11"/>
      <c r="AW74" s="11"/>
      <c r="AX74" s="11"/>
    </row>
    <row r="75" spans="1:50" x14ac:dyDescent="0.25">
      <c r="A75" s="3">
        <v>0.2</v>
      </c>
      <c r="B75" s="40">
        <v>100</v>
      </c>
      <c r="C75" s="40">
        <v>915</v>
      </c>
      <c r="D75" s="40">
        <f t="shared" si="7"/>
        <v>1205.5966617474935</v>
      </c>
      <c r="E75" s="41">
        <f t="shared" si="8"/>
        <v>1583.8771222137245</v>
      </c>
      <c r="F75" s="41"/>
      <c r="G75" s="41"/>
      <c r="AE75" s="11"/>
      <c r="AF75" s="11"/>
      <c r="AG75" s="12"/>
      <c r="AP75" s="11"/>
      <c r="AQ75" s="11"/>
      <c r="AR75" s="11"/>
      <c r="AS75" s="11"/>
      <c r="AT75" s="11"/>
      <c r="AU75" s="11"/>
      <c r="AV75" s="11"/>
      <c r="AW75" s="11"/>
      <c r="AX75" s="11"/>
    </row>
    <row r="76" spans="1:50" x14ac:dyDescent="0.25">
      <c r="A76" s="3">
        <v>0.1</v>
      </c>
      <c r="B76" s="40">
        <v>100</v>
      </c>
      <c r="C76" s="40">
        <v>770</v>
      </c>
      <c r="D76" s="40">
        <f t="shared" si="7"/>
        <v>1014.5458246399671</v>
      </c>
      <c r="E76" s="41">
        <f t="shared" si="8"/>
        <v>1332.8802012071781</v>
      </c>
      <c r="F76" s="41"/>
      <c r="G76" s="41"/>
      <c r="AE76" s="11"/>
      <c r="AF76" s="11"/>
      <c r="AG76" s="12"/>
      <c r="AP76" s="11"/>
      <c r="AQ76" s="11"/>
      <c r="AR76" s="11"/>
      <c r="AS76" s="11"/>
      <c r="AT76" s="11"/>
      <c r="AU76" s="11"/>
      <c r="AV76" s="11"/>
      <c r="AW76" s="11"/>
      <c r="AX76" s="11"/>
    </row>
    <row r="77" spans="1:50" x14ac:dyDescent="0.25">
      <c r="A77" s="3"/>
      <c r="B77" s="40"/>
      <c r="AE77" s="11"/>
      <c r="AF77" s="11"/>
      <c r="AG77" s="12"/>
      <c r="AP77" s="11"/>
      <c r="AQ77" s="11"/>
      <c r="AR77" s="11"/>
      <c r="AS77" s="11"/>
      <c r="AT77" s="11"/>
      <c r="AU77" s="11"/>
      <c r="AV77" s="11"/>
      <c r="AW77" s="11"/>
      <c r="AX77" s="11"/>
    </row>
    <row r="78" spans="1:50" ht="15" x14ac:dyDescent="0.2">
      <c r="A78" s="4"/>
      <c r="AE78" s="11"/>
      <c r="AF78" s="11"/>
      <c r="AG78" s="12"/>
      <c r="AP78" s="11"/>
      <c r="AQ78" s="11"/>
      <c r="AR78" s="11"/>
      <c r="AS78" s="11"/>
      <c r="AT78" s="11"/>
      <c r="AU78" s="11"/>
      <c r="AV78" s="11"/>
      <c r="AW78" s="11"/>
      <c r="AX78" s="11"/>
    </row>
    <row r="79" spans="1:50" x14ac:dyDescent="0.25">
      <c r="A79" s="4"/>
      <c r="B79" s="186" t="s">
        <v>13</v>
      </c>
      <c r="C79" s="187"/>
      <c r="AE79" s="11"/>
      <c r="AF79" s="11"/>
      <c r="AG79" s="12"/>
      <c r="AP79" s="11"/>
      <c r="AQ79" s="11"/>
      <c r="AR79" s="11"/>
      <c r="AS79" s="11"/>
      <c r="AT79" s="11"/>
      <c r="AU79" s="11"/>
      <c r="AV79" s="11"/>
      <c r="AW79" s="11"/>
      <c r="AX79" s="11"/>
    </row>
    <row r="80" spans="1:50" x14ac:dyDescent="0.25">
      <c r="A80" s="4"/>
      <c r="B80" s="42" t="s">
        <v>27</v>
      </c>
      <c r="C80" s="43" t="str">
        <f>D28</f>
        <v>18/19 Prices</v>
      </c>
      <c r="AE80" s="11"/>
      <c r="AF80" s="11"/>
      <c r="AG80" s="12"/>
      <c r="AP80" s="11"/>
      <c r="AQ80" s="11"/>
      <c r="AR80" s="11"/>
      <c r="AS80" s="11"/>
      <c r="AT80" s="11"/>
      <c r="AU80" s="11"/>
      <c r="AV80" s="11"/>
      <c r="AW80" s="11"/>
      <c r="AX80" s="11"/>
    </row>
    <row r="81" spans="1:50" x14ac:dyDescent="0.25">
      <c r="A81" s="16" t="s">
        <v>28</v>
      </c>
      <c r="B81" s="16">
        <f>D57</f>
        <v>1.3175919800519054</v>
      </c>
      <c r="C81" s="44">
        <f>D29</f>
        <v>1.3137703283931788</v>
      </c>
      <c r="AE81" s="11"/>
      <c r="AF81" s="11"/>
      <c r="AG81" s="12"/>
      <c r="AP81" s="11"/>
      <c r="AQ81" s="11"/>
      <c r="AR81" s="11"/>
      <c r="AS81" s="11"/>
      <c r="AT81" s="11"/>
      <c r="AU81" s="11"/>
      <c r="AV81" s="11"/>
      <c r="AW81" s="11"/>
      <c r="AX81" s="11"/>
    </row>
    <row r="82" spans="1:50" ht="15" x14ac:dyDescent="0.2">
      <c r="A82" s="45"/>
      <c r="B82" s="46"/>
      <c r="C82" s="46"/>
      <c r="AE82" s="11"/>
      <c r="AF82" s="11"/>
      <c r="AG82" s="12"/>
      <c r="AP82" s="11"/>
      <c r="AQ82" s="11"/>
      <c r="AR82" s="11"/>
      <c r="AS82" s="11"/>
      <c r="AT82" s="11"/>
      <c r="AU82" s="11"/>
      <c r="AV82" s="11"/>
      <c r="AW82" s="11"/>
      <c r="AX82" s="11"/>
    </row>
    <row r="83" spans="1:50" ht="15" x14ac:dyDescent="0.2">
      <c r="A83" s="45">
        <v>80000</v>
      </c>
      <c r="B83" s="46">
        <f>A83*$B$81</f>
        <v>105407.35840415243</v>
      </c>
      <c r="C83" s="46">
        <f t="shared" ref="C83:C88" si="9">B83*$C$81</f>
        <v>138481.05986568081</v>
      </c>
      <c r="D83" s="160">
        <f t="shared" ref="D83:D84" si="10">ROUND(C83,0)</f>
        <v>138481</v>
      </c>
      <c r="AE83" s="11"/>
      <c r="AF83" s="11"/>
      <c r="AG83" s="12"/>
      <c r="AP83" s="11"/>
      <c r="AQ83" s="11"/>
      <c r="AR83" s="11"/>
      <c r="AS83" s="11"/>
      <c r="AT83" s="11"/>
      <c r="AU83" s="11"/>
      <c r="AV83" s="11"/>
      <c r="AW83" s="11"/>
      <c r="AX83" s="11"/>
    </row>
    <row r="84" spans="1:50" ht="15" x14ac:dyDescent="0.2">
      <c r="A84" s="45">
        <v>40000</v>
      </c>
      <c r="B84" s="46">
        <f t="shared" ref="B84:B88" si="11">A84*$B$81</f>
        <v>52703.679202076215</v>
      </c>
      <c r="C84" s="46">
        <f t="shared" si="9"/>
        <v>69240.529932840407</v>
      </c>
      <c r="D84" s="160">
        <f t="shared" si="10"/>
        <v>69241</v>
      </c>
      <c r="AE84" s="11"/>
      <c r="AF84" s="11"/>
      <c r="AG84" s="12"/>
      <c r="AP84" s="11"/>
      <c r="AQ84" s="11"/>
      <c r="AR84" s="11"/>
      <c r="AS84" s="11"/>
      <c r="AT84" s="11"/>
      <c r="AU84" s="11"/>
      <c r="AV84" s="11"/>
      <c r="AW84" s="11"/>
      <c r="AX84" s="11"/>
    </row>
    <row r="85" spans="1:50" ht="15" x14ac:dyDescent="0.2">
      <c r="A85" s="45">
        <v>35000</v>
      </c>
      <c r="B85" s="46">
        <f t="shared" si="11"/>
        <v>46115.719301816687</v>
      </c>
      <c r="C85" s="46">
        <f t="shared" si="9"/>
        <v>60585.46369123536</v>
      </c>
      <c r="D85" s="160">
        <f>ROUND(C85,0)</f>
        <v>60585</v>
      </c>
      <c r="AE85" s="11"/>
      <c r="AF85" s="11"/>
      <c r="AG85" s="12"/>
      <c r="AP85" s="11"/>
      <c r="AQ85" s="11"/>
      <c r="AR85" s="11"/>
      <c r="AS85" s="11"/>
      <c r="AT85" s="11"/>
      <c r="AU85" s="11"/>
      <c r="AV85" s="11"/>
      <c r="AW85" s="11"/>
      <c r="AX85" s="11"/>
    </row>
    <row r="86" spans="1:50" ht="15" x14ac:dyDescent="0.2">
      <c r="A86" s="45">
        <v>100000</v>
      </c>
      <c r="B86" s="46">
        <f t="shared" si="11"/>
        <v>131759.19800519053</v>
      </c>
      <c r="C86" s="46">
        <f t="shared" si="9"/>
        <v>173101.32483210103</v>
      </c>
      <c r="D86" s="160">
        <f>ROUND(C86,0)</f>
        <v>173101</v>
      </c>
      <c r="AE86" s="11"/>
      <c r="AF86" s="11"/>
      <c r="AG86" s="12"/>
      <c r="AP86" s="11"/>
      <c r="AQ86" s="11"/>
      <c r="AR86" s="11"/>
      <c r="AS86" s="11"/>
      <c r="AT86" s="11"/>
      <c r="AU86" s="11"/>
      <c r="AV86" s="11"/>
      <c r="AW86" s="11"/>
      <c r="AX86" s="11"/>
    </row>
    <row r="87" spans="1:50" ht="15" x14ac:dyDescent="0.2">
      <c r="A87" s="45">
        <v>200000</v>
      </c>
      <c r="B87" s="46">
        <f t="shared" si="11"/>
        <v>263518.39601038105</v>
      </c>
      <c r="C87" s="46">
        <f t="shared" si="9"/>
        <v>346202.64966420206</v>
      </c>
      <c r="D87" s="160">
        <f t="shared" ref="D87:D88" si="12">ROUND(C87,0)</f>
        <v>346203</v>
      </c>
      <c r="AE87" s="11"/>
      <c r="AF87" s="11"/>
      <c r="AG87" s="12"/>
      <c r="AP87" s="11"/>
      <c r="AQ87" s="11"/>
      <c r="AR87" s="11"/>
      <c r="AS87" s="11"/>
      <c r="AT87" s="11"/>
      <c r="AU87" s="11"/>
      <c r="AV87" s="11"/>
      <c r="AW87" s="11"/>
      <c r="AX87" s="11"/>
    </row>
    <row r="88" spans="1:50" ht="15" x14ac:dyDescent="0.2">
      <c r="A88" s="45">
        <v>10000</v>
      </c>
      <c r="B88" s="46">
        <f t="shared" si="11"/>
        <v>13175.919800519054</v>
      </c>
      <c r="C88" s="46">
        <f t="shared" si="9"/>
        <v>17310.132483210102</v>
      </c>
      <c r="D88" s="160">
        <f t="shared" si="12"/>
        <v>17310</v>
      </c>
      <c r="AE88" s="11"/>
      <c r="AF88" s="11"/>
      <c r="AG88" s="12"/>
      <c r="AP88" s="11"/>
      <c r="AQ88" s="11"/>
      <c r="AR88" s="11"/>
      <c r="AS88" s="11"/>
      <c r="AT88" s="11"/>
      <c r="AU88" s="11"/>
      <c r="AV88" s="11"/>
      <c r="AW88" s="11"/>
      <c r="AX88" s="11"/>
    </row>
    <row r="89" spans="1:50" ht="15" x14ac:dyDescent="0.2">
      <c r="A89" s="47"/>
      <c r="B89" s="26"/>
      <c r="C89" s="26"/>
      <c r="AE89" s="11"/>
      <c r="AF89" s="11"/>
      <c r="AG89" s="12"/>
      <c r="AP89" s="11"/>
      <c r="AQ89" s="11"/>
      <c r="AR89" s="11"/>
      <c r="AS89" s="11"/>
      <c r="AT89" s="11"/>
      <c r="AU89" s="11"/>
      <c r="AV89" s="11"/>
      <c r="AW89" s="11"/>
      <c r="AX89" s="11"/>
    </row>
    <row r="90" spans="1:50" x14ac:dyDescent="0.25">
      <c r="A90" s="3"/>
      <c r="B90" s="40"/>
      <c r="C90" s="47"/>
      <c r="D90" s="26"/>
      <c r="E90" s="26"/>
      <c r="AE90" s="11"/>
      <c r="AF90" s="40"/>
      <c r="AG90" s="12"/>
      <c r="AP90" s="11"/>
      <c r="AQ90" s="11"/>
      <c r="AR90" s="11"/>
      <c r="AS90" s="11"/>
      <c r="AT90" s="11"/>
      <c r="AU90" s="11"/>
      <c r="AV90" s="11"/>
      <c r="AW90" s="11"/>
      <c r="AX90" s="11"/>
    </row>
    <row r="91" spans="1:50" s="2" customFormat="1" x14ac:dyDescent="0.25">
      <c r="A91" s="1" t="s">
        <v>29</v>
      </c>
      <c r="B91" s="48"/>
      <c r="AE91" s="18"/>
      <c r="AF91" s="49"/>
      <c r="AG91" s="20"/>
      <c r="AP91" s="18"/>
      <c r="AQ91" s="18"/>
      <c r="AR91" s="18"/>
      <c r="AS91" s="18"/>
      <c r="AT91" s="18"/>
      <c r="AU91" s="18"/>
      <c r="AV91" s="18"/>
      <c r="AW91" s="18"/>
      <c r="AX91" s="18"/>
    </row>
    <row r="92" spans="1:50" x14ac:dyDescent="0.25">
      <c r="B92" s="9"/>
      <c r="AE92" s="11"/>
      <c r="AF92" s="40"/>
      <c r="AG92" s="9"/>
      <c r="AJ92" s="3"/>
      <c r="AP92" s="11"/>
      <c r="AQ92" s="11"/>
      <c r="AR92" s="11"/>
      <c r="AS92" s="11"/>
      <c r="AT92" s="11"/>
      <c r="AU92" s="11"/>
      <c r="AV92" s="11"/>
      <c r="AW92" s="11"/>
      <c r="AX92" s="11"/>
    </row>
    <row r="93" spans="1:50" x14ac:dyDescent="0.25">
      <c r="B93" s="1" t="s">
        <v>30</v>
      </c>
      <c r="C93" s="36"/>
      <c r="D93" s="36"/>
      <c r="E93" s="36"/>
      <c r="F93" s="36"/>
      <c r="G93" s="36"/>
      <c r="H93" s="36"/>
      <c r="I93" s="36"/>
      <c r="J93" s="36"/>
      <c r="K93" s="36"/>
      <c r="L93" s="36"/>
      <c r="M93" s="36"/>
      <c r="N93" s="36"/>
      <c r="AE93" s="11"/>
      <c r="AF93" s="40"/>
      <c r="AG93" s="9"/>
      <c r="AJ93" s="3"/>
    </row>
    <row r="94" spans="1:50" x14ac:dyDescent="0.25">
      <c r="A94" s="3" t="s">
        <v>31</v>
      </c>
      <c r="B94" s="36">
        <v>0</v>
      </c>
      <c r="C94" s="36">
        <v>5</v>
      </c>
      <c r="D94" s="36">
        <v>10</v>
      </c>
      <c r="E94" s="36">
        <v>15</v>
      </c>
      <c r="F94" s="36">
        <v>20</v>
      </c>
      <c r="G94" s="36">
        <v>25</v>
      </c>
      <c r="H94" s="36">
        <v>30</v>
      </c>
      <c r="I94" s="36">
        <v>40</v>
      </c>
      <c r="J94" s="36">
        <v>50</v>
      </c>
      <c r="K94" s="36"/>
      <c r="L94" s="36"/>
      <c r="M94" s="36"/>
      <c r="N94" s="36"/>
      <c r="AE94" s="11"/>
      <c r="AF94" s="40"/>
      <c r="AG94" s="9"/>
      <c r="AQ94" s="11"/>
    </row>
    <row r="95" spans="1:50" x14ac:dyDescent="0.25">
      <c r="A95" s="5" t="s">
        <v>32</v>
      </c>
      <c r="B95" s="50">
        <f>E58*1000</f>
        <v>6101821.7003315622</v>
      </c>
      <c r="C95" s="51">
        <f t="shared" ref="C95:E110" si="13">VLOOKUP(C6,$A$30:$E$40,5,FALSE)*C$94+$B95</f>
        <v>12064960.343361121</v>
      </c>
      <c r="D95" s="51">
        <f t="shared" si="13"/>
        <v>37725715.570094727</v>
      </c>
      <c r="E95" s="51">
        <f t="shared" si="13"/>
        <v>53537662.504976302</v>
      </c>
      <c r="F95" s="51">
        <f>VLOOKUP(F6,$A$30:$E$40,5,FALSE)*F$94+$B95</f>
        <v>69349609.439857885</v>
      </c>
      <c r="G95" s="51">
        <f>VLOOKUP(G6,$A$30:$E$40,5,FALSE)*G$94+$C$86+$B95</f>
        <v>85334657.699571565</v>
      </c>
      <c r="H95" s="51">
        <f>VLOOKUP(H6,$A$30:$E$40,5,FALSE)*H$94+$C$86+$B95</f>
        <v>101146604.63445315</v>
      </c>
      <c r="I95" s="51">
        <f>VLOOKUP(I6,$A$30:$E$40,5,FALSE)*I$94+$C$86+$B95</f>
        <v>132770498.50421631</v>
      </c>
      <c r="J95" s="51">
        <f>VLOOKUP(J6,$A$30:$E$40,5,FALSE)*J$94+$C$87+$B95</f>
        <v>164567493.69881156</v>
      </c>
      <c r="K95" s="52"/>
      <c r="L95" s="52"/>
      <c r="M95" s="52"/>
      <c r="N95" s="36"/>
      <c r="AE95" s="11"/>
      <c r="AF95" s="40"/>
      <c r="AG95" s="9"/>
      <c r="AQ95" s="11"/>
    </row>
    <row r="96" spans="1:50" x14ac:dyDescent="0.25">
      <c r="A96" s="5" t="s">
        <v>33</v>
      </c>
      <c r="B96" s="50">
        <f t="shared" ref="B96:B113" si="14">E59*1000</f>
        <v>6101821.7003315622</v>
      </c>
      <c r="C96" s="51">
        <f t="shared" si="13"/>
        <v>12064960.343361121</v>
      </c>
      <c r="D96" s="51">
        <f t="shared" si="13"/>
        <v>25901782.614556104</v>
      </c>
      <c r="E96" s="51">
        <f t="shared" si="13"/>
        <v>53537662.504976302</v>
      </c>
      <c r="F96" s="51">
        <f t="shared" ref="F96:F113" si="15">VLOOKUP(F7,$A$30:$E$40,5,FALSE)*F$94+$B96</f>
        <v>69349609.439857885</v>
      </c>
      <c r="G96" s="51">
        <f t="shared" ref="G96" si="16">VLOOKUP(G7,$A$30:$E$40,5,FALSE)*G$94+$C$86+$B96</f>
        <v>85334657.699571565</v>
      </c>
      <c r="H96" s="51">
        <f t="shared" ref="H96:I99" si="17">VLOOKUP(H7,$A$30:$E$40,5,FALSE)*H$94+$C$86+$B96</f>
        <v>101146604.63445315</v>
      </c>
      <c r="I96" s="51">
        <f t="shared" si="17"/>
        <v>132770498.50421631</v>
      </c>
      <c r="J96" s="51">
        <f t="shared" ref="J96:J99" si="18">VLOOKUP(J7,$A$30:$E$40,5,FALSE)*J$94+$C$87+$B96</f>
        <v>164567493.69881156</v>
      </c>
      <c r="K96" s="52"/>
      <c r="L96" s="52"/>
      <c r="M96" s="52"/>
      <c r="N96" s="36"/>
      <c r="AE96" s="11"/>
      <c r="AF96" s="40"/>
      <c r="AG96" s="9"/>
      <c r="AQ96" s="11"/>
    </row>
    <row r="97" spans="1:43" x14ac:dyDescent="0.25">
      <c r="A97" s="5" t="s">
        <v>34</v>
      </c>
      <c r="B97" s="50">
        <f t="shared" si="14"/>
        <v>6101821.7003315622</v>
      </c>
      <c r="C97" s="51">
        <f t="shared" si="13"/>
        <v>11215141.068146763</v>
      </c>
      <c r="D97" s="51">
        <f t="shared" si="13"/>
        <v>18028098.986390676</v>
      </c>
      <c r="E97" s="51">
        <f t="shared" si="13"/>
        <v>35801763.071668379</v>
      </c>
      <c r="F97" s="51">
        <f t="shared" si="15"/>
        <v>69349609.439857885</v>
      </c>
      <c r="G97" s="51">
        <f t="shared" ref="G97" si="19">VLOOKUP(G8,$A$30:$E$40,5,FALSE)*G$94+$C$86+$B97</f>
        <v>85334657.699571565</v>
      </c>
      <c r="H97" s="51">
        <f t="shared" si="17"/>
        <v>101146604.63445315</v>
      </c>
      <c r="I97" s="51">
        <f t="shared" si="17"/>
        <v>132770498.50421631</v>
      </c>
      <c r="J97" s="51">
        <f t="shared" si="18"/>
        <v>164567493.69881156</v>
      </c>
      <c r="K97" s="52"/>
      <c r="L97" s="52"/>
      <c r="M97" s="52"/>
      <c r="N97" s="36"/>
      <c r="AE97" s="11"/>
      <c r="AF97" s="40"/>
      <c r="AG97" s="9"/>
      <c r="AQ97" s="11"/>
    </row>
    <row r="98" spans="1:43" x14ac:dyDescent="0.25">
      <c r="A98" s="5" t="s">
        <v>35</v>
      </c>
      <c r="B98" s="50">
        <f t="shared" si="14"/>
        <v>6101821.7003315622</v>
      </c>
      <c r="C98" s="51">
        <f t="shared" si="13"/>
        <v>11215141.068146763</v>
      </c>
      <c r="D98" s="51">
        <f t="shared" si="13"/>
        <v>16328460.435961965</v>
      </c>
      <c r="E98" s="51">
        <f t="shared" si="13"/>
        <v>23991237.629420236</v>
      </c>
      <c r="F98" s="51">
        <f t="shared" si="15"/>
        <v>29954376.272449791</v>
      </c>
      <c r="G98" s="51">
        <f t="shared" ref="G98" si="20">VLOOKUP(G9,$A$30:$E$40,5,FALSE)*G$94+$C$86+$B98</f>
        <v>55774825.310725026</v>
      </c>
      <c r="H98" s="51">
        <f t="shared" si="17"/>
        <v>101146604.63445315</v>
      </c>
      <c r="I98" s="51">
        <f t="shared" si="17"/>
        <v>132770498.50421631</v>
      </c>
      <c r="J98" s="51">
        <f t="shared" si="18"/>
        <v>164567493.69881156</v>
      </c>
      <c r="K98" s="52"/>
      <c r="L98" s="52"/>
      <c r="M98" s="52"/>
      <c r="N98" s="36"/>
      <c r="AE98" s="11"/>
      <c r="AF98" s="40"/>
      <c r="AG98" s="9"/>
      <c r="AQ98" s="11"/>
    </row>
    <row r="99" spans="1:43" x14ac:dyDescent="0.25">
      <c r="A99" s="5" t="s">
        <v>36</v>
      </c>
      <c r="B99" s="50">
        <f t="shared" si="14"/>
        <v>6101821.7003315622</v>
      </c>
      <c r="C99" s="51">
        <f t="shared" si="13"/>
        <v>11215141.068146763</v>
      </c>
      <c r="D99" s="51">
        <f t="shared" si="13"/>
        <v>16328460.435961965</v>
      </c>
      <c r="E99" s="51">
        <f t="shared" si="13"/>
        <v>21441779.803777166</v>
      </c>
      <c r="F99" s="51">
        <f t="shared" si="15"/>
        <v>29954376.272449791</v>
      </c>
      <c r="G99" s="51">
        <f t="shared" ref="G99" si="21">VLOOKUP(G10,$A$30:$E$40,5,FALSE)*G$94+$C$86+$B99</f>
        <v>36090616.240311451</v>
      </c>
      <c r="H99" s="51">
        <f t="shared" si="17"/>
        <v>42053754.883341014</v>
      </c>
      <c r="I99" s="51">
        <f t="shared" si="17"/>
        <v>53980032.169400126</v>
      </c>
      <c r="J99" s="51">
        <f t="shared" si="18"/>
        <v>66079410.780291341</v>
      </c>
      <c r="K99" s="52"/>
      <c r="L99" s="52"/>
      <c r="M99" s="52"/>
      <c r="N99" s="36"/>
      <c r="AE99" s="11"/>
      <c r="AF99" s="40"/>
      <c r="AG99" s="9"/>
      <c r="AQ99" s="11"/>
    </row>
    <row r="100" spans="1:43" x14ac:dyDescent="0.25">
      <c r="A100" s="3" t="s">
        <v>37</v>
      </c>
      <c r="B100" s="52">
        <f t="shared" si="14"/>
        <v>6101821.7003315622</v>
      </c>
      <c r="C100" s="53">
        <f t="shared" si="13"/>
        <v>11215141.068146763</v>
      </c>
      <c r="D100" s="53">
        <f t="shared" si="13"/>
        <v>16328460.435961965</v>
      </c>
      <c r="E100" s="53">
        <f t="shared" si="13"/>
        <v>21441779.803777166</v>
      </c>
      <c r="F100" s="53">
        <f t="shared" si="15"/>
        <v>26555099.171592366</v>
      </c>
      <c r="G100" s="53">
        <f>VLOOKUP(G11,$A$30:$E$40,5,FALSE)*G$94+$C$86+$B100</f>
        <v>36090616.240311451</v>
      </c>
      <c r="H100" s="53">
        <f>VLOOKUP(H11,$A$30:$E$40,5,FALSE)*H$94+$C$86+$B100</f>
        <v>42053754.883341014</v>
      </c>
      <c r="I100" s="53">
        <f>VLOOKUP(I11,$A$30:$E$40,5,FALSE)*I$94+$C$86+$B100</f>
        <v>53980032.169400126</v>
      </c>
      <c r="J100" s="53">
        <f>VLOOKUP(J11,$A$30:$E$40,5,FALSE)*J$94+$C$87+$B100</f>
        <v>66079410.780291341</v>
      </c>
      <c r="K100" s="52"/>
      <c r="L100" s="52"/>
      <c r="M100" s="52"/>
      <c r="N100" s="52"/>
      <c r="AE100" s="11"/>
      <c r="AF100" s="40"/>
      <c r="AG100" s="9"/>
    </row>
    <row r="101" spans="1:43" x14ac:dyDescent="0.25">
      <c r="A101" s="3" t="s">
        <v>38</v>
      </c>
      <c r="B101" s="52">
        <f t="shared" si="14"/>
        <v>5418071.4672447629</v>
      </c>
      <c r="C101" s="53">
        <f t="shared" si="13"/>
        <v>8856958.7885570973</v>
      </c>
      <c r="D101" s="53">
        <f t="shared" si="13"/>
        <v>15644710.202875165</v>
      </c>
      <c r="E101" s="53">
        <f t="shared" si="13"/>
        <v>20758029.570690364</v>
      </c>
      <c r="F101" s="53">
        <f t="shared" si="15"/>
        <v>25871348.938505568</v>
      </c>
      <c r="G101" s="53">
        <f t="shared" ref="G101" si="22">VLOOKUP(G12,$A$30:$E$40,5,FALSE)*G$94+$C$86+$B101</f>
        <v>31157769.631152868</v>
      </c>
      <c r="H101" s="53">
        <f t="shared" ref="H101:I113" si="23">VLOOKUP(H12,$A$30:$E$40,5,FALSE)*H$94+$C$86+$B101</f>
        <v>36271088.998968065</v>
      </c>
      <c r="I101" s="53">
        <f t="shared" si="23"/>
        <v>53296281.936313331</v>
      </c>
      <c r="J101" s="53">
        <f t="shared" ref="J101:J113" si="24">VLOOKUP(J12,$A$30:$E$40,5,FALSE)*J$94+$C$87+$B101</f>
        <v>65395660.547204539</v>
      </c>
      <c r="K101" s="52"/>
      <c r="L101" s="52"/>
      <c r="M101" s="52"/>
      <c r="N101" s="52"/>
      <c r="Q101" s="52"/>
      <c r="R101" s="52"/>
      <c r="S101" s="52"/>
      <c r="T101" s="52"/>
      <c r="AE101" s="11"/>
      <c r="AF101" s="40"/>
      <c r="AG101" s="9"/>
    </row>
    <row r="102" spans="1:43" x14ac:dyDescent="0.25">
      <c r="A102" s="3" t="s">
        <v>39</v>
      </c>
      <c r="B102" s="52">
        <f t="shared" si="14"/>
        <v>5071868.8175805602</v>
      </c>
      <c r="C102" s="53">
        <f t="shared" si="13"/>
        <v>8510756.1388928965</v>
      </c>
      <c r="D102" s="53">
        <f t="shared" si="13"/>
        <v>11949643.460205231</v>
      </c>
      <c r="E102" s="53">
        <f t="shared" si="13"/>
        <v>20411826.921026163</v>
      </c>
      <c r="F102" s="53">
        <f t="shared" si="15"/>
        <v>25525146.288841367</v>
      </c>
      <c r="G102" s="53">
        <f t="shared" ref="G102" si="25">VLOOKUP(G13,$A$30:$E$40,5,FALSE)*G$94+$C$86+$B102</f>
        <v>30811566.981488667</v>
      </c>
      <c r="H102" s="53">
        <f t="shared" si="23"/>
        <v>35924886.349303864</v>
      </c>
      <c r="I102" s="53">
        <f t="shared" si="23"/>
        <v>46151525.084934272</v>
      </c>
      <c r="J102" s="53">
        <f t="shared" si="24"/>
        <v>65049457.897540338</v>
      </c>
      <c r="K102" s="52"/>
      <c r="L102" s="52"/>
      <c r="M102" s="52"/>
      <c r="N102" s="52"/>
      <c r="S102" s="52"/>
      <c r="T102" s="52"/>
      <c r="AE102" s="12"/>
      <c r="AF102" s="12"/>
      <c r="AG102" s="9"/>
    </row>
    <row r="103" spans="1:43" x14ac:dyDescent="0.25">
      <c r="A103" s="3" t="s">
        <v>40</v>
      </c>
      <c r="B103" s="52">
        <f t="shared" si="14"/>
        <v>4552564.8430842571</v>
      </c>
      <c r="C103" s="53">
        <f t="shared" si="13"/>
        <v>7991452.1643965924</v>
      </c>
      <c r="D103" s="53">
        <f t="shared" si="13"/>
        <v>11430339.485708928</v>
      </c>
      <c r="E103" s="53">
        <f t="shared" si="13"/>
        <v>14869226.807021264</v>
      </c>
      <c r="F103" s="53">
        <f t="shared" si="15"/>
        <v>18308114.128333598</v>
      </c>
      <c r="G103" s="53">
        <f t="shared" ref="G103" si="26">VLOOKUP(G14,$A$30:$E$40,5,FALSE)*G$94+$C$86+$B103</f>
        <v>30292263.006992362</v>
      </c>
      <c r="H103" s="53">
        <f t="shared" si="23"/>
        <v>35405582.374807566</v>
      </c>
      <c r="I103" s="53">
        <f t="shared" si="23"/>
        <v>45632221.110437974</v>
      </c>
      <c r="J103" s="53">
        <f t="shared" si="24"/>
        <v>56031961.170900464</v>
      </c>
      <c r="K103" s="52"/>
      <c r="L103" s="52"/>
      <c r="M103" s="52"/>
      <c r="N103" s="52"/>
    </row>
    <row r="104" spans="1:43" x14ac:dyDescent="0.25">
      <c r="A104" s="3" t="s">
        <v>41</v>
      </c>
      <c r="B104" s="52">
        <f t="shared" si="14"/>
        <v>4552564.8430842571</v>
      </c>
      <c r="C104" s="53">
        <f t="shared" si="13"/>
        <v>7991452.1643965924</v>
      </c>
      <c r="D104" s="53">
        <f t="shared" si="13"/>
        <v>11430339.485708928</v>
      </c>
      <c r="E104" s="53">
        <f t="shared" si="13"/>
        <v>14869226.807021264</v>
      </c>
      <c r="F104" s="53">
        <f t="shared" si="15"/>
        <v>18308114.128333598</v>
      </c>
      <c r="G104" s="53">
        <f t="shared" ref="G104" si="27">VLOOKUP(G15,$A$30:$E$40,5,FALSE)*G$94+$C$86+$B104</f>
        <v>21920102.774478037</v>
      </c>
      <c r="H104" s="53">
        <f t="shared" si="23"/>
        <v>25358990.095790371</v>
      </c>
      <c r="I104" s="53">
        <f t="shared" si="23"/>
        <v>45632221.110437974</v>
      </c>
      <c r="J104" s="53">
        <f t="shared" si="24"/>
        <v>56031961.170900464</v>
      </c>
      <c r="K104" s="52"/>
      <c r="L104" s="52"/>
      <c r="M104" s="52"/>
      <c r="N104" s="52"/>
      <c r="AQ104" s="11"/>
    </row>
    <row r="105" spans="1:43" x14ac:dyDescent="0.25">
      <c r="A105" s="3" t="s">
        <v>42</v>
      </c>
      <c r="B105" s="52">
        <f t="shared" si="14"/>
        <v>3938055.1399302986</v>
      </c>
      <c r="C105" s="53">
        <f t="shared" si="13"/>
        <v>6854807.7370643215</v>
      </c>
      <c r="D105" s="53">
        <f t="shared" si="13"/>
        <v>10815829.782554969</v>
      </c>
      <c r="E105" s="53">
        <f t="shared" si="13"/>
        <v>14254717.103867305</v>
      </c>
      <c r="F105" s="53">
        <f t="shared" si="15"/>
        <v>17693604.425179638</v>
      </c>
      <c r="G105" s="53">
        <f t="shared" ref="G105" si="28">VLOOKUP(G16,$A$30:$E$40,5,FALSE)*G$94+$C$86+$B105</f>
        <v>21305593.07132408</v>
      </c>
      <c r="H105" s="53">
        <f t="shared" si="23"/>
        <v>24744480.392636411</v>
      </c>
      <c r="I105" s="53">
        <f t="shared" si="23"/>
        <v>31622255.03526108</v>
      </c>
      <c r="J105" s="53">
        <f t="shared" si="24"/>
        <v>55417451.467746511</v>
      </c>
      <c r="K105" s="52"/>
      <c r="L105" s="52"/>
      <c r="M105" s="52"/>
      <c r="N105" s="52"/>
      <c r="AE105" s="3"/>
      <c r="AF105" s="9"/>
    </row>
    <row r="106" spans="1:43" x14ac:dyDescent="0.25">
      <c r="A106" s="3" t="s">
        <v>43</v>
      </c>
      <c r="B106" s="52">
        <f t="shared" si="14"/>
        <v>3358165.7017427599</v>
      </c>
      <c r="C106" s="53">
        <f t="shared" si="13"/>
        <v>6274918.2988767829</v>
      </c>
      <c r="D106" s="53">
        <f t="shared" si="13"/>
        <v>9191670.8960108049</v>
      </c>
      <c r="E106" s="53">
        <f t="shared" si="13"/>
        <v>12108423.493144829</v>
      </c>
      <c r="F106" s="53">
        <f t="shared" si="15"/>
        <v>17113714.986992102</v>
      </c>
      <c r="G106" s="53">
        <f t="shared" ref="G106" si="29">VLOOKUP(G17,$A$30:$E$40,5,FALSE)*G$94+$C$86+$B106</f>
        <v>20725703.633136541</v>
      </c>
      <c r="H106" s="53">
        <f t="shared" si="23"/>
        <v>24164590.954448875</v>
      </c>
      <c r="I106" s="53">
        <f t="shared" si="23"/>
        <v>31042365.597073544</v>
      </c>
      <c r="J106" s="53">
        <f t="shared" si="24"/>
        <v>38093241.56453032</v>
      </c>
      <c r="K106" s="52"/>
      <c r="L106" s="52"/>
      <c r="M106" s="52"/>
      <c r="N106" s="52"/>
      <c r="T106" s="3"/>
      <c r="AF106" s="9"/>
      <c r="AO106" s="52"/>
    </row>
    <row r="107" spans="1:43" x14ac:dyDescent="0.25">
      <c r="A107" s="3" t="s">
        <v>44</v>
      </c>
      <c r="B107" s="52">
        <f t="shared" si="14"/>
        <v>3297580.2380515253</v>
      </c>
      <c r="C107" s="53">
        <f t="shared" si="13"/>
        <v>5998277.0872496944</v>
      </c>
      <c r="D107" s="53">
        <f t="shared" si="13"/>
        <v>8698973.9364478625</v>
      </c>
      <c r="E107" s="53">
        <f t="shared" si="13"/>
        <v>12047838.029453594</v>
      </c>
      <c r="F107" s="53">
        <f t="shared" si="15"/>
        <v>14964590.626587618</v>
      </c>
      <c r="G107" s="53">
        <f t="shared" ref="G107" si="30">VLOOKUP(G18,$A$30:$E$40,5,FALSE)*G$94+$C$86+$B107</f>
        <v>18054444.548553742</v>
      </c>
      <c r="H107" s="53">
        <f t="shared" si="23"/>
        <v>20971197.145687766</v>
      </c>
      <c r="I107" s="53">
        <f t="shared" si="23"/>
        <v>26804702.33995581</v>
      </c>
      <c r="J107" s="53">
        <f t="shared" si="24"/>
        <v>38032656.100839086</v>
      </c>
      <c r="K107" s="52"/>
      <c r="L107" s="52"/>
      <c r="M107" s="52"/>
      <c r="N107" s="52"/>
      <c r="AO107" s="52"/>
    </row>
    <row r="108" spans="1:43" x14ac:dyDescent="0.25">
      <c r="A108" s="3" t="s">
        <v>45</v>
      </c>
      <c r="B108" s="52">
        <f t="shared" si="14"/>
        <v>2605174.9387231208</v>
      </c>
      <c r="C108" s="53">
        <f t="shared" si="13"/>
        <v>4765732.4180816561</v>
      </c>
      <c r="D108" s="53">
        <f t="shared" si="13"/>
        <v>8006568.637119459</v>
      </c>
      <c r="E108" s="53">
        <f t="shared" si="13"/>
        <v>10707265.486317627</v>
      </c>
      <c r="F108" s="53">
        <f t="shared" si="15"/>
        <v>13407962.335515797</v>
      </c>
      <c r="G108" s="53">
        <f t="shared" ref="G108" si="31">VLOOKUP(G19,$A$30:$E$40,5,FALSE)*G$94+$C$86+$B108</f>
        <v>16281760.509546068</v>
      </c>
      <c r="H108" s="53">
        <f t="shared" si="23"/>
        <v>18982457.358744234</v>
      </c>
      <c r="I108" s="53">
        <f t="shared" si="23"/>
        <v>24383851.057140574</v>
      </c>
      <c r="J108" s="53">
        <f t="shared" si="24"/>
        <v>32118903.559727553</v>
      </c>
      <c r="K108" s="52"/>
      <c r="L108" s="52"/>
      <c r="M108" s="52"/>
      <c r="N108" s="52"/>
      <c r="AO108" s="52"/>
    </row>
    <row r="109" spans="1:43" x14ac:dyDescent="0.25">
      <c r="A109" s="3" t="s">
        <v>46</v>
      </c>
      <c r="B109" s="52">
        <f t="shared" si="14"/>
        <v>1895459.5069115062</v>
      </c>
      <c r="C109" s="53">
        <f t="shared" si="13"/>
        <v>4056016.9862700421</v>
      </c>
      <c r="D109" s="53">
        <f t="shared" si="13"/>
        <v>7296853.2053078441</v>
      </c>
      <c r="E109" s="53">
        <f t="shared" si="13"/>
        <v>9997550.0545060132</v>
      </c>
      <c r="F109" s="53">
        <f t="shared" si="15"/>
        <v>12698246.903704183</v>
      </c>
      <c r="G109" s="53">
        <f t="shared" ref="G109" si="32">VLOOKUP(G20,$A$30:$E$40,5,FALSE)*G$94+$C$86+$B109</f>
        <v>15572045.077734454</v>
      </c>
      <c r="H109" s="53">
        <f t="shared" si="23"/>
        <v>18272741.926932622</v>
      </c>
      <c r="I109" s="53">
        <f t="shared" si="23"/>
        <v>23674135.625328958</v>
      </c>
      <c r="J109" s="53">
        <f t="shared" si="24"/>
        <v>31409188.127915937</v>
      </c>
      <c r="K109" s="52"/>
      <c r="L109" s="52"/>
      <c r="M109" s="52"/>
      <c r="N109" s="52"/>
      <c r="AE109" s="11"/>
      <c r="AF109" s="11"/>
      <c r="AG109" s="11"/>
      <c r="AH109" s="11"/>
      <c r="AI109" s="11"/>
      <c r="AJ109" s="11"/>
      <c r="AK109" s="11"/>
      <c r="AL109" s="11"/>
      <c r="AM109" s="11"/>
      <c r="AN109" s="11"/>
      <c r="AO109" s="52"/>
    </row>
    <row r="110" spans="1:43" x14ac:dyDescent="0.25">
      <c r="A110" s="3" t="s">
        <v>47</v>
      </c>
      <c r="B110" s="52">
        <f t="shared" si="14"/>
        <v>1895459.5069115062</v>
      </c>
      <c r="C110" s="53">
        <f t="shared" si="13"/>
        <v>4056016.9862700421</v>
      </c>
      <c r="D110" s="53">
        <f t="shared" si="13"/>
        <v>6216574.4656285774</v>
      </c>
      <c r="E110" s="53">
        <f t="shared" si="13"/>
        <v>8377131.9449871136</v>
      </c>
      <c r="F110" s="53">
        <f t="shared" si="15"/>
        <v>12698246.903704183</v>
      </c>
      <c r="G110" s="53">
        <f t="shared" ref="G110" si="33">VLOOKUP(G21,$A$30:$E$40,5,FALSE)*G$94+$C$86+$B110</f>
        <v>15572045.077734454</v>
      </c>
      <c r="H110" s="53">
        <f t="shared" si="23"/>
        <v>18272741.926932622</v>
      </c>
      <c r="I110" s="53">
        <f t="shared" si="23"/>
        <v>23674135.625328958</v>
      </c>
      <c r="J110" s="53">
        <f t="shared" si="24"/>
        <v>29248630.648557398</v>
      </c>
      <c r="K110" s="52"/>
      <c r="L110" s="52"/>
      <c r="M110" s="52"/>
      <c r="N110" s="52"/>
      <c r="AE110" s="3"/>
      <c r="AF110" s="11"/>
      <c r="AG110" s="11"/>
      <c r="AH110" s="11"/>
      <c r="AI110" s="11"/>
      <c r="AJ110" s="11"/>
      <c r="AK110" s="11"/>
      <c r="AL110" s="11"/>
      <c r="AM110" s="11"/>
      <c r="AN110" s="11"/>
      <c r="AO110" s="52"/>
    </row>
    <row r="111" spans="1:43" x14ac:dyDescent="0.25">
      <c r="A111" s="3" t="s">
        <v>48</v>
      </c>
      <c r="B111" s="52">
        <f t="shared" si="14"/>
        <v>1583877.1222137245</v>
      </c>
      <c r="C111" s="53">
        <f t="shared" ref="C111:E113" si="34">VLOOKUP(C22,$A$30:$E$40,5,FALSE)*C$94+$B111</f>
        <v>3744434.6015722603</v>
      </c>
      <c r="D111" s="53">
        <f t="shared" si="34"/>
        <v>5904992.0809307955</v>
      </c>
      <c r="E111" s="53">
        <f t="shared" si="34"/>
        <v>8065549.5602893326</v>
      </c>
      <c r="F111" s="53">
        <f t="shared" si="15"/>
        <v>10226107.039647868</v>
      </c>
      <c r="G111" s="53">
        <f t="shared" ref="G111" si="35">VLOOKUP(G22,$A$30:$E$40,5,FALSE)*G$94+$C$86+$B111</f>
        <v>12559765.843838504</v>
      </c>
      <c r="H111" s="53">
        <f t="shared" si="23"/>
        <v>14720323.323197041</v>
      </c>
      <c r="I111" s="53">
        <f t="shared" si="23"/>
        <v>23362553.240631178</v>
      </c>
      <c r="J111" s="53">
        <f t="shared" si="24"/>
        <v>28937048.263859618</v>
      </c>
      <c r="K111" s="52"/>
      <c r="L111" s="52"/>
      <c r="M111" s="52"/>
      <c r="N111" s="52"/>
      <c r="AE111" s="11"/>
      <c r="AF111" s="52"/>
      <c r="AG111" s="52"/>
      <c r="AH111" s="52"/>
      <c r="AI111" s="52"/>
      <c r="AJ111" s="52"/>
      <c r="AK111" s="52"/>
      <c r="AL111" s="52"/>
      <c r="AM111" s="52"/>
      <c r="AN111" s="52"/>
      <c r="AO111" s="52"/>
    </row>
    <row r="112" spans="1:43" x14ac:dyDescent="0.25">
      <c r="A112" s="3" t="s">
        <v>49</v>
      </c>
      <c r="B112" s="52">
        <f t="shared" si="14"/>
        <v>1583877.1222137245</v>
      </c>
      <c r="C112" s="53">
        <f t="shared" si="34"/>
        <v>3384341.6883458374</v>
      </c>
      <c r="D112" s="53">
        <f t="shared" si="34"/>
        <v>5904992.0809307955</v>
      </c>
      <c r="E112" s="53">
        <f t="shared" si="34"/>
        <v>8065549.5602893326</v>
      </c>
      <c r="F112" s="53">
        <f t="shared" si="15"/>
        <v>10226107.039647868</v>
      </c>
      <c r="G112" s="53">
        <f t="shared" ref="G112" si="36">VLOOKUP(G23,$A$30:$E$40,5,FALSE)*G$94+$C$86+$B112</f>
        <v>12559765.843838504</v>
      </c>
      <c r="H112" s="53">
        <f t="shared" si="23"/>
        <v>14720323.323197041</v>
      </c>
      <c r="I112" s="53">
        <f t="shared" si="23"/>
        <v>19041438.281914111</v>
      </c>
      <c r="J112" s="53">
        <f t="shared" si="24"/>
        <v>28937048.263859618</v>
      </c>
      <c r="K112" s="52"/>
      <c r="L112" s="52"/>
      <c r="M112" s="52"/>
      <c r="N112" s="52"/>
      <c r="AE112" s="11"/>
      <c r="AF112" s="52"/>
      <c r="AG112" s="52"/>
      <c r="AH112" s="52"/>
      <c r="AI112" s="52"/>
      <c r="AJ112" s="52"/>
      <c r="AK112" s="52"/>
      <c r="AL112" s="52"/>
      <c r="AM112" s="52"/>
      <c r="AN112" s="52"/>
      <c r="AO112" s="52"/>
    </row>
    <row r="113" spans="1:41" x14ac:dyDescent="0.25">
      <c r="A113" s="3" t="s">
        <v>50</v>
      </c>
      <c r="B113" s="52">
        <f t="shared" si="14"/>
        <v>1332880.2012071779</v>
      </c>
      <c r="C113" s="53">
        <f t="shared" si="34"/>
        <v>3133344.7673392911</v>
      </c>
      <c r="D113" s="53">
        <f t="shared" si="34"/>
        <v>5653995.1599242492</v>
      </c>
      <c r="E113" s="53">
        <f t="shared" si="34"/>
        <v>7814552.6392827854</v>
      </c>
      <c r="F113" s="53">
        <f t="shared" si="15"/>
        <v>9975110.1186413206</v>
      </c>
      <c r="G113" s="53">
        <f t="shared" ref="G113" si="37">VLOOKUP(G24,$A$30:$E$40,5,FALSE)*G$94+$C$86+$B113</f>
        <v>12308768.922831956</v>
      </c>
      <c r="H113" s="53">
        <f t="shared" si="23"/>
        <v>14469326.402190493</v>
      </c>
      <c r="I113" s="53">
        <f t="shared" si="23"/>
        <v>18790441.360907566</v>
      </c>
      <c r="J113" s="53">
        <f t="shared" si="24"/>
        <v>23284657.644456737</v>
      </c>
      <c r="K113" s="52"/>
      <c r="L113" s="52"/>
      <c r="M113" s="52"/>
      <c r="N113" s="52"/>
      <c r="AE113" s="11"/>
      <c r="AF113" s="52"/>
      <c r="AG113" s="52"/>
      <c r="AH113" s="52"/>
      <c r="AI113" s="52"/>
      <c r="AJ113" s="52"/>
      <c r="AK113" s="52"/>
      <c r="AL113" s="52"/>
      <c r="AM113" s="52"/>
      <c r="AN113" s="52"/>
      <c r="AO113" s="52"/>
    </row>
    <row r="114" spans="1:41" x14ac:dyDescent="0.25">
      <c r="A114" s="3"/>
      <c r="B114" s="52"/>
      <c r="C114" s="52"/>
      <c r="D114" s="52"/>
      <c r="E114" s="52"/>
      <c r="F114" s="52"/>
      <c r="G114" s="52"/>
      <c r="H114" s="52"/>
      <c r="I114" s="52"/>
      <c r="J114" s="53"/>
      <c r="K114" s="52"/>
      <c r="L114" s="52"/>
      <c r="M114" s="52"/>
      <c r="N114" s="52"/>
      <c r="AE114" s="11"/>
      <c r="AF114" s="52"/>
      <c r="AG114" s="52"/>
      <c r="AH114" s="52"/>
      <c r="AI114" s="52"/>
      <c r="AJ114" s="52"/>
      <c r="AK114" s="52"/>
      <c r="AL114" s="52"/>
      <c r="AM114" s="52"/>
      <c r="AN114" s="52"/>
      <c r="AO114" s="52"/>
    </row>
    <row r="115" spans="1:41" x14ac:dyDescent="0.25">
      <c r="A115" s="1" t="s">
        <v>637</v>
      </c>
      <c r="B115" s="52"/>
      <c r="C115" s="52"/>
      <c r="D115" s="52"/>
      <c r="E115" s="52"/>
      <c r="F115" s="52"/>
      <c r="G115" s="52"/>
      <c r="H115" s="52"/>
      <c r="I115" s="52"/>
      <c r="J115" s="52"/>
      <c r="K115" s="52"/>
      <c r="L115" s="52"/>
      <c r="M115" s="52"/>
      <c r="N115" s="52"/>
      <c r="O115" s="54"/>
      <c r="P115" s="3"/>
      <c r="AE115" s="11"/>
      <c r="AF115" s="52"/>
      <c r="AG115" s="52"/>
      <c r="AH115" s="52"/>
      <c r="AI115" s="52"/>
      <c r="AJ115" s="52"/>
      <c r="AK115" s="52"/>
      <c r="AL115" s="52"/>
      <c r="AM115" s="52"/>
      <c r="AN115" s="52"/>
      <c r="AO115" s="52"/>
    </row>
    <row r="116" spans="1:41" x14ac:dyDescent="0.25">
      <c r="A116" s="3"/>
      <c r="B116" s="52"/>
      <c r="C116" s="52"/>
      <c r="D116" s="52"/>
      <c r="E116" s="52"/>
      <c r="F116" s="52"/>
      <c r="G116" s="52"/>
      <c r="H116" s="52"/>
      <c r="I116" s="52"/>
      <c r="J116" s="52"/>
      <c r="K116" s="52"/>
      <c r="L116" s="52"/>
      <c r="M116" s="52"/>
      <c r="N116" s="52"/>
      <c r="O116" s="54"/>
      <c r="P116" s="3"/>
      <c r="AE116" s="11"/>
      <c r="AF116" s="52"/>
      <c r="AG116" s="52"/>
      <c r="AH116" s="52"/>
      <c r="AI116" s="52"/>
      <c r="AJ116" s="52"/>
      <c r="AK116" s="52"/>
      <c r="AL116" s="52"/>
      <c r="AM116" s="52"/>
      <c r="AN116" s="52"/>
      <c r="AO116" s="52"/>
    </row>
    <row r="117" spans="1:41" x14ac:dyDescent="0.25">
      <c r="A117" s="4"/>
      <c r="B117" s="11">
        <v>0.10272000000000001</v>
      </c>
      <c r="C117" s="1"/>
      <c r="G117" s="52"/>
      <c r="H117" s="52"/>
      <c r="I117" s="52"/>
      <c r="J117" s="52"/>
      <c r="K117" s="52"/>
      <c r="L117" s="52"/>
      <c r="M117" s="52"/>
      <c r="N117" s="52"/>
      <c r="O117" s="54"/>
      <c r="P117" s="3"/>
      <c r="AE117" s="11"/>
      <c r="AF117" s="52"/>
      <c r="AG117" s="52"/>
      <c r="AH117" s="52"/>
      <c r="AI117" s="52"/>
      <c r="AJ117" s="52"/>
      <c r="AK117" s="52"/>
      <c r="AL117" s="52"/>
      <c r="AM117" s="52"/>
      <c r="AN117" s="52"/>
      <c r="AO117" s="52"/>
    </row>
    <row r="118" spans="1:41" x14ac:dyDescent="0.25">
      <c r="A118" s="4"/>
      <c r="B118" s="54"/>
      <c r="C118" s="1"/>
      <c r="F118" s="52"/>
      <c r="G118" s="52"/>
      <c r="H118" s="52"/>
      <c r="I118" s="52"/>
      <c r="J118" s="52"/>
      <c r="K118" s="52"/>
      <c r="L118" s="52"/>
      <c r="M118" s="52"/>
      <c r="N118" s="52"/>
      <c r="O118" s="54"/>
      <c r="P118" s="3"/>
      <c r="AE118" s="11"/>
      <c r="AF118" s="52"/>
      <c r="AG118" s="52"/>
      <c r="AH118" s="52"/>
      <c r="AI118" s="52"/>
      <c r="AJ118" s="52"/>
      <c r="AK118" s="52"/>
      <c r="AL118" s="52"/>
      <c r="AM118" s="52"/>
      <c r="AN118" s="52"/>
      <c r="AO118" s="52"/>
    </row>
    <row r="119" spans="1:41" x14ac:dyDescent="0.25">
      <c r="A119" s="4"/>
      <c r="B119" s="54"/>
      <c r="C119" s="1"/>
      <c r="F119" s="52"/>
      <c r="G119" s="52"/>
      <c r="H119" s="52"/>
      <c r="I119" s="52"/>
      <c r="J119" s="52"/>
      <c r="K119" s="52"/>
      <c r="L119" s="52"/>
      <c r="M119" s="52"/>
      <c r="N119" s="52"/>
      <c r="O119" s="54"/>
      <c r="P119" s="3"/>
      <c r="AE119" s="11"/>
      <c r="AF119" s="52"/>
      <c r="AG119" s="52"/>
      <c r="AH119" s="52"/>
      <c r="AI119" s="52"/>
      <c r="AJ119" s="52"/>
      <c r="AK119" s="52"/>
      <c r="AL119" s="52"/>
      <c r="AM119" s="52"/>
      <c r="AN119" s="52"/>
      <c r="AO119" s="52"/>
    </row>
    <row r="120" spans="1:41" x14ac:dyDescent="0.25">
      <c r="A120" s="3"/>
      <c r="B120" s="52"/>
      <c r="C120" s="52"/>
      <c r="D120" s="52"/>
      <c r="E120" s="52"/>
      <c r="F120" s="52"/>
      <c r="G120" s="52"/>
      <c r="H120" s="52"/>
      <c r="I120" s="52"/>
      <c r="J120" s="52"/>
      <c r="K120" s="52"/>
      <c r="L120" s="52"/>
      <c r="M120" s="52"/>
      <c r="N120" s="52"/>
      <c r="O120" s="54"/>
      <c r="P120" s="3"/>
      <c r="AE120" s="11"/>
      <c r="AF120" s="52"/>
      <c r="AG120" s="52"/>
      <c r="AH120" s="52"/>
      <c r="AI120" s="52"/>
      <c r="AJ120" s="52"/>
      <c r="AK120" s="52"/>
      <c r="AL120" s="52"/>
      <c r="AM120" s="52"/>
      <c r="AN120" s="52"/>
      <c r="AO120" s="52"/>
    </row>
    <row r="121" spans="1:41" x14ac:dyDescent="0.25">
      <c r="A121" s="36" t="s">
        <v>51</v>
      </c>
      <c r="B121" s="52"/>
      <c r="C121" s="52"/>
      <c r="D121" s="52"/>
      <c r="E121" s="55"/>
      <c r="F121" s="52"/>
      <c r="G121" s="52"/>
      <c r="H121" s="52"/>
      <c r="I121" s="52"/>
      <c r="J121" s="52"/>
      <c r="K121" s="52"/>
      <c r="L121" s="52"/>
      <c r="M121" s="52"/>
      <c r="N121" s="52"/>
      <c r="AE121" s="11"/>
      <c r="AF121" s="52"/>
      <c r="AG121" s="52"/>
      <c r="AH121" s="52"/>
      <c r="AI121" s="52"/>
      <c r="AJ121" s="52"/>
      <c r="AK121" s="52"/>
      <c r="AL121" s="52"/>
      <c r="AM121" s="52"/>
      <c r="AN121" s="52"/>
      <c r="AO121" s="12"/>
    </row>
    <row r="122" spans="1:41" x14ac:dyDescent="0.25">
      <c r="B122" s="1" t="s">
        <v>30</v>
      </c>
      <c r="C122" s="36"/>
      <c r="D122" s="36"/>
      <c r="E122" s="36"/>
      <c r="F122" s="36"/>
      <c r="G122" s="36"/>
      <c r="H122" s="36"/>
      <c r="I122" s="36"/>
      <c r="J122" s="36"/>
      <c r="K122" s="36"/>
      <c r="L122" s="36"/>
      <c r="M122" s="36"/>
      <c r="N122" s="36"/>
      <c r="AE122" s="11"/>
      <c r="AF122" s="52"/>
      <c r="AG122" s="52"/>
      <c r="AH122" s="52"/>
      <c r="AI122" s="52"/>
      <c r="AJ122" s="52"/>
      <c r="AK122" s="52"/>
      <c r="AL122" s="52"/>
      <c r="AM122" s="52"/>
      <c r="AN122" s="52"/>
      <c r="AO122" s="12"/>
    </row>
    <row r="123" spans="1:41" x14ac:dyDescent="0.25">
      <c r="A123" s="3" t="s">
        <v>31</v>
      </c>
      <c r="B123" s="36">
        <v>0</v>
      </c>
      <c r="C123" s="36">
        <v>5</v>
      </c>
      <c r="D123" s="36">
        <v>10</v>
      </c>
      <c r="E123" s="36">
        <v>15</v>
      </c>
      <c r="F123" s="36">
        <v>20</v>
      </c>
      <c r="G123" s="36">
        <v>25</v>
      </c>
      <c r="H123" s="36">
        <v>30</v>
      </c>
      <c r="I123" s="36">
        <v>40</v>
      </c>
      <c r="J123" s="36">
        <v>50</v>
      </c>
      <c r="K123" s="36"/>
      <c r="L123" s="36"/>
      <c r="M123" s="36"/>
      <c r="N123" s="36"/>
      <c r="P123" s="11"/>
      <c r="AE123" s="11"/>
      <c r="AF123" s="52"/>
      <c r="AG123" s="52"/>
      <c r="AH123" s="52"/>
      <c r="AI123" s="52"/>
      <c r="AJ123" s="52"/>
      <c r="AK123" s="52"/>
      <c r="AL123" s="52"/>
      <c r="AM123" s="52"/>
      <c r="AN123" s="52"/>
      <c r="AO123" s="12"/>
    </row>
    <row r="124" spans="1:41" x14ac:dyDescent="0.25">
      <c r="A124" s="5" t="s">
        <v>32</v>
      </c>
      <c r="B124" s="51">
        <f t="shared" ref="B124:J124" si="38">B95*$B$117</f>
        <v>626779.12505805807</v>
      </c>
      <c r="C124" s="51">
        <f t="shared" si="38"/>
        <v>1239312.7264700544</v>
      </c>
      <c r="D124" s="51">
        <f t="shared" si="38"/>
        <v>3875185.5033601304</v>
      </c>
      <c r="E124" s="51">
        <f t="shared" si="38"/>
        <v>5499388.6925111664</v>
      </c>
      <c r="F124" s="51">
        <f t="shared" si="38"/>
        <v>7123591.8816622021</v>
      </c>
      <c r="G124" s="51">
        <f t="shared" si="38"/>
        <v>8765576.0388999917</v>
      </c>
      <c r="H124" s="51">
        <f t="shared" si="38"/>
        <v>10389779.228051027</v>
      </c>
      <c r="I124" s="51">
        <f t="shared" si="38"/>
        <v>13638185.6063531</v>
      </c>
      <c r="J124" s="51">
        <f t="shared" si="38"/>
        <v>16904372.952741925</v>
      </c>
      <c r="K124" s="52"/>
      <c r="L124" s="52"/>
      <c r="M124" s="52"/>
      <c r="N124" s="36"/>
      <c r="P124" s="11"/>
      <c r="AE124" s="11"/>
      <c r="AF124" s="52"/>
      <c r="AG124" s="52"/>
      <c r="AH124" s="52"/>
      <c r="AI124" s="52"/>
      <c r="AJ124" s="52"/>
      <c r="AK124" s="52"/>
      <c r="AL124" s="52"/>
      <c r="AM124" s="52"/>
      <c r="AN124" s="52"/>
      <c r="AO124" s="12"/>
    </row>
    <row r="125" spans="1:41" x14ac:dyDescent="0.25">
      <c r="A125" s="5" t="s">
        <v>33</v>
      </c>
      <c r="B125" s="51">
        <f t="shared" ref="B125:J125" si="39">B96*$B$117</f>
        <v>626779.12505805807</v>
      </c>
      <c r="C125" s="51">
        <f t="shared" si="39"/>
        <v>1239312.7264700544</v>
      </c>
      <c r="D125" s="51">
        <f t="shared" si="39"/>
        <v>2660631.110167203</v>
      </c>
      <c r="E125" s="51">
        <f t="shared" si="39"/>
        <v>5499388.6925111664</v>
      </c>
      <c r="F125" s="51">
        <f t="shared" si="39"/>
        <v>7123591.8816622021</v>
      </c>
      <c r="G125" s="51">
        <f t="shared" si="39"/>
        <v>8765576.0388999917</v>
      </c>
      <c r="H125" s="51">
        <f t="shared" si="39"/>
        <v>10389779.228051027</v>
      </c>
      <c r="I125" s="51">
        <f t="shared" si="39"/>
        <v>13638185.6063531</v>
      </c>
      <c r="J125" s="51">
        <f t="shared" si="39"/>
        <v>16904372.952741925</v>
      </c>
      <c r="K125" s="52"/>
      <c r="L125" s="52"/>
      <c r="M125" s="52"/>
      <c r="N125" s="36"/>
      <c r="P125" s="11"/>
      <c r="AE125" s="11"/>
      <c r="AF125" s="52"/>
      <c r="AG125" s="52"/>
      <c r="AH125" s="52"/>
      <c r="AI125" s="52"/>
      <c r="AJ125" s="52"/>
      <c r="AK125" s="52"/>
      <c r="AL125" s="52"/>
      <c r="AM125" s="52"/>
      <c r="AN125" s="52"/>
      <c r="AO125" s="12"/>
    </row>
    <row r="126" spans="1:41" x14ac:dyDescent="0.25">
      <c r="A126" s="5" t="s">
        <v>34</v>
      </c>
      <c r="B126" s="51">
        <f t="shared" ref="B126:J126" si="40">B97*$B$117</f>
        <v>626779.12505805807</v>
      </c>
      <c r="C126" s="51">
        <f t="shared" si="40"/>
        <v>1152019.2905200357</v>
      </c>
      <c r="D126" s="51">
        <f t="shared" si="40"/>
        <v>1851846.3278820503</v>
      </c>
      <c r="E126" s="51">
        <f t="shared" si="40"/>
        <v>3677557.1027217759</v>
      </c>
      <c r="F126" s="51">
        <f t="shared" si="40"/>
        <v>7123591.8816622021</v>
      </c>
      <c r="G126" s="51">
        <f t="shared" si="40"/>
        <v>8765576.0388999917</v>
      </c>
      <c r="H126" s="51">
        <f t="shared" si="40"/>
        <v>10389779.228051027</v>
      </c>
      <c r="I126" s="51">
        <f t="shared" si="40"/>
        <v>13638185.6063531</v>
      </c>
      <c r="J126" s="51">
        <f t="shared" si="40"/>
        <v>16904372.952741925</v>
      </c>
      <c r="K126" s="52"/>
      <c r="L126" s="52"/>
      <c r="M126" s="52"/>
      <c r="N126" s="36"/>
      <c r="P126" s="11"/>
      <c r="AE126" s="11"/>
      <c r="AF126" s="52"/>
      <c r="AG126" s="52"/>
      <c r="AH126" s="52"/>
      <c r="AI126" s="52"/>
      <c r="AJ126" s="52"/>
      <c r="AK126" s="52"/>
      <c r="AL126" s="52"/>
      <c r="AM126" s="52"/>
      <c r="AN126" s="52"/>
      <c r="AO126" s="12"/>
    </row>
    <row r="127" spans="1:41" x14ac:dyDescent="0.25">
      <c r="A127" s="5" t="s">
        <v>35</v>
      </c>
      <c r="B127" s="51">
        <f t="shared" ref="B127:J127" si="41">B98*$B$117</f>
        <v>626779.12505805807</v>
      </c>
      <c r="C127" s="51">
        <f t="shared" si="41"/>
        <v>1152019.2905200357</v>
      </c>
      <c r="D127" s="51">
        <f t="shared" si="41"/>
        <v>1677259.4559820131</v>
      </c>
      <c r="E127" s="51">
        <f t="shared" si="41"/>
        <v>2464379.9292940469</v>
      </c>
      <c r="F127" s="51">
        <f t="shared" si="41"/>
        <v>3076913.5307060429</v>
      </c>
      <c r="G127" s="51">
        <f t="shared" si="41"/>
        <v>5729190.0559176747</v>
      </c>
      <c r="H127" s="51">
        <f t="shared" si="41"/>
        <v>10389779.228051027</v>
      </c>
      <c r="I127" s="51">
        <f t="shared" si="41"/>
        <v>13638185.6063531</v>
      </c>
      <c r="J127" s="51">
        <f t="shared" si="41"/>
        <v>16904372.952741925</v>
      </c>
      <c r="K127" s="52"/>
      <c r="L127" s="52"/>
      <c r="M127" s="52"/>
      <c r="N127" s="36"/>
      <c r="P127" s="11"/>
      <c r="AE127" s="11"/>
      <c r="AF127" s="52"/>
      <c r="AG127" s="52"/>
      <c r="AH127" s="52"/>
      <c r="AI127" s="52"/>
      <c r="AJ127" s="52"/>
      <c r="AK127" s="52"/>
      <c r="AL127" s="52"/>
      <c r="AM127" s="52"/>
      <c r="AN127" s="52"/>
      <c r="AO127" s="12"/>
    </row>
    <row r="128" spans="1:41" x14ac:dyDescent="0.25">
      <c r="A128" s="5" t="s">
        <v>36</v>
      </c>
      <c r="B128" s="51">
        <f t="shared" ref="B128:J128" si="42">B99*$B$117</f>
        <v>626779.12505805807</v>
      </c>
      <c r="C128" s="51">
        <f t="shared" si="42"/>
        <v>1152019.2905200357</v>
      </c>
      <c r="D128" s="51">
        <f t="shared" si="42"/>
        <v>1677259.4559820131</v>
      </c>
      <c r="E128" s="51">
        <f t="shared" si="42"/>
        <v>2202499.6214439906</v>
      </c>
      <c r="F128" s="51">
        <f t="shared" si="42"/>
        <v>3076913.5307060429</v>
      </c>
      <c r="G128" s="51">
        <f t="shared" si="42"/>
        <v>3707228.1002047923</v>
      </c>
      <c r="H128" s="51">
        <f t="shared" si="42"/>
        <v>4319761.7016167892</v>
      </c>
      <c r="I128" s="51">
        <f t="shared" si="42"/>
        <v>5544828.9044407811</v>
      </c>
      <c r="J128" s="51">
        <f t="shared" si="42"/>
        <v>6787677.075351527</v>
      </c>
      <c r="K128" s="52"/>
      <c r="L128" s="52"/>
      <c r="M128" s="52"/>
      <c r="N128" s="36"/>
      <c r="P128" s="11"/>
      <c r="AE128" s="11"/>
      <c r="AF128" s="52"/>
      <c r="AG128" s="52"/>
      <c r="AH128" s="52"/>
      <c r="AI128" s="52"/>
      <c r="AJ128" s="52"/>
      <c r="AK128" s="52"/>
      <c r="AL128" s="52"/>
      <c r="AM128" s="52"/>
      <c r="AN128" s="52"/>
      <c r="AO128" s="12"/>
    </row>
    <row r="129" spans="1:41" x14ac:dyDescent="0.25">
      <c r="A129" s="3" t="s">
        <v>37</v>
      </c>
      <c r="B129" s="52">
        <f t="shared" ref="B129:J129" si="43">B100*$B$117</f>
        <v>626779.12505805807</v>
      </c>
      <c r="C129" s="52">
        <f t="shared" si="43"/>
        <v>1152019.2905200357</v>
      </c>
      <c r="D129" s="52">
        <f t="shared" si="43"/>
        <v>1677259.4559820131</v>
      </c>
      <c r="E129" s="52">
        <f t="shared" si="43"/>
        <v>2202499.6214439906</v>
      </c>
      <c r="F129" s="52">
        <f t="shared" si="43"/>
        <v>2727739.7869059681</v>
      </c>
      <c r="G129" s="52">
        <f t="shared" si="43"/>
        <v>3707228.1002047923</v>
      </c>
      <c r="H129" s="52">
        <f t="shared" si="43"/>
        <v>4319761.7016167892</v>
      </c>
      <c r="I129" s="52">
        <f t="shared" si="43"/>
        <v>5544828.9044407811</v>
      </c>
      <c r="J129" s="52">
        <f t="shared" si="43"/>
        <v>6787677.075351527</v>
      </c>
      <c r="K129" s="52"/>
      <c r="L129" s="52"/>
      <c r="M129" s="52"/>
      <c r="N129" s="52"/>
      <c r="AE129" s="11"/>
      <c r="AF129" s="52"/>
      <c r="AG129" s="52"/>
      <c r="AH129" s="52"/>
      <c r="AI129" s="52"/>
      <c r="AJ129" s="52"/>
      <c r="AK129" s="52"/>
      <c r="AL129" s="52"/>
      <c r="AM129" s="52"/>
      <c r="AN129" s="52"/>
      <c r="AO129" s="12"/>
    </row>
    <row r="130" spans="1:41" x14ac:dyDescent="0.25">
      <c r="A130" s="3" t="s">
        <v>38</v>
      </c>
      <c r="B130" s="52">
        <f t="shared" ref="B130:J130" si="44">B101*$B$117</f>
        <v>556544.30111538211</v>
      </c>
      <c r="C130" s="52">
        <f t="shared" si="44"/>
        <v>909786.80676058505</v>
      </c>
      <c r="D130" s="52">
        <f t="shared" si="44"/>
        <v>1607024.632039337</v>
      </c>
      <c r="E130" s="52">
        <f t="shared" si="44"/>
        <v>2132264.7975013144</v>
      </c>
      <c r="F130" s="52">
        <f t="shared" si="44"/>
        <v>2657504.9629632919</v>
      </c>
      <c r="G130" s="52">
        <f t="shared" si="44"/>
        <v>3200526.0965120229</v>
      </c>
      <c r="H130" s="52">
        <f t="shared" si="44"/>
        <v>3725766.2619739999</v>
      </c>
      <c r="I130" s="52">
        <f t="shared" si="44"/>
        <v>5474594.0804981058</v>
      </c>
      <c r="J130" s="52">
        <f t="shared" si="44"/>
        <v>6717442.2514088508</v>
      </c>
      <c r="K130" s="52"/>
      <c r="L130" s="52"/>
      <c r="M130" s="52"/>
      <c r="N130" s="52"/>
      <c r="AE130" s="11"/>
      <c r="AF130" s="52"/>
      <c r="AG130" s="52"/>
      <c r="AH130" s="52"/>
      <c r="AI130" s="52"/>
      <c r="AJ130" s="52"/>
      <c r="AK130" s="52"/>
      <c r="AL130" s="52"/>
      <c r="AM130" s="52"/>
      <c r="AN130" s="52"/>
      <c r="AO130" s="12"/>
    </row>
    <row r="131" spans="1:41" x14ac:dyDescent="0.25">
      <c r="A131" s="3" t="s">
        <v>39</v>
      </c>
      <c r="B131" s="52">
        <f t="shared" ref="B131:J131" si="45">B102*$B$117</f>
        <v>520982.36494187516</v>
      </c>
      <c r="C131" s="52">
        <f t="shared" si="45"/>
        <v>874224.87058707839</v>
      </c>
      <c r="D131" s="52">
        <f t="shared" si="45"/>
        <v>1227467.3762322813</v>
      </c>
      <c r="E131" s="52">
        <f t="shared" si="45"/>
        <v>2096702.8613278077</v>
      </c>
      <c r="F131" s="52">
        <f t="shared" si="45"/>
        <v>2621943.0267897854</v>
      </c>
      <c r="G131" s="52">
        <f t="shared" si="45"/>
        <v>3164964.1603385159</v>
      </c>
      <c r="H131" s="52">
        <f t="shared" si="45"/>
        <v>3690204.3258004929</v>
      </c>
      <c r="I131" s="52">
        <f t="shared" si="45"/>
        <v>4740684.6567244483</v>
      </c>
      <c r="J131" s="52">
        <f t="shared" si="45"/>
        <v>6681880.3152353438</v>
      </c>
      <c r="K131" s="52"/>
      <c r="L131" s="52"/>
      <c r="M131" s="52"/>
      <c r="N131" s="52"/>
      <c r="AE131" s="11"/>
      <c r="AF131" s="52"/>
      <c r="AG131" s="52"/>
      <c r="AH131" s="52"/>
      <c r="AI131" s="52"/>
      <c r="AJ131" s="52"/>
      <c r="AK131" s="52"/>
      <c r="AL131" s="52"/>
      <c r="AM131" s="52"/>
      <c r="AN131" s="52"/>
      <c r="AO131" s="12"/>
    </row>
    <row r="132" spans="1:41" x14ac:dyDescent="0.25">
      <c r="A132" s="3" t="s">
        <v>40</v>
      </c>
      <c r="B132" s="52">
        <f t="shared" ref="B132:J132" si="46">B103*$B$117</f>
        <v>467639.46068161493</v>
      </c>
      <c r="C132" s="52">
        <f t="shared" si="46"/>
        <v>820881.96632681799</v>
      </c>
      <c r="D132" s="52">
        <f t="shared" si="46"/>
        <v>1174124.471972021</v>
      </c>
      <c r="E132" s="52">
        <f t="shared" si="46"/>
        <v>1527366.9776172242</v>
      </c>
      <c r="F132" s="52">
        <f t="shared" si="46"/>
        <v>1880609.4832624274</v>
      </c>
      <c r="G132" s="52">
        <f t="shared" si="46"/>
        <v>3111621.2560782558</v>
      </c>
      <c r="H132" s="52">
        <f t="shared" si="46"/>
        <v>3636861.4215402333</v>
      </c>
      <c r="I132" s="52">
        <f t="shared" si="46"/>
        <v>4687341.7524641892</v>
      </c>
      <c r="J132" s="52">
        <f t="shared" si="46"/>
        <v>5755603.0514748963</v>
      </c>
      <c r="K132" s="52"/>
      <c r="L132" s="52"/>
      <c r="M132" s="52"/>
      <c r="N132" s="52"/>
      <c r="AE132" s="11"/>
      <c r="AF132" s="52"/>
      <c r="AG132" s="52"/>
      <c r="AH132" s="52"/>
      <c r="AI132" s="52"/>
      <c r="AJ132" s="52"/>
      <c r="AK132" s="52"/>
      <c r="AL132" s="52"/>
      <c r="AM132" s="52"/>
      <c r="AN132" s="52"/>
      <c r="AO132" s="12"/>
    </row>
    <row r="133" spans="1:41" x14ac:dyDescent="0.25">
      <c r="A133" s="3" t="s">
        <v>41</v>
      </c>
      <c r="B133" s="52">
        <f t="shared" ref="B133:J133" si="47">B104*$B$117</f>
        <v>467639.46068161493</v>
      </c>
      <c r="C133" s="52">
        <f t="shared" si="47"/>
        <v>820881.96632681799</v>
      </c>
      <c r="D133" s="52">
        <f t="shared" si="47"/>
        <v>1174124.471972021</v>
      </c>
      <c r="E133" s="52">
        <f t="shared" si="47"/>
        <v>1527366.9776172242</v>
      </c>
      <c r="F133" s="52">
        <f t="shared" si="47"/>
        <v>1880609.4832624274</v>
      </c>
      <c r="G133" s="52">
        <f t="shared" si="47"/>
        <v>2251632.9569943841</v>
      </c>
      <c r="H133" s="52">
        <f t="shared" si="47"/>
        <v>2604875.462639587</v>
      </c>
      <c r="I133" s="52">
        <f t="shared" si="47"/>
        <v>4687341.7524641892</v>
      </c>
      <c r="J133" s="52">
        <f t="shared" si="47"/>
        <v>5755603.0514748963</v>
      </c>
      <c r="K133" s="52"/>
      <c r="L133" s="52"/>
      <c r="M133" s="52"/>
      <c r="N133" s="52"/>
      <c r="AE133" s="11"/>
      <c r="AF133" s="52"/>
      <c r="AG133" s="52"/>
      <c r="AH133" s="52"/>
      <c r="AI133" s="52"/>
      <c r="AJ133" s="52"/>
      <c r="AK133" s="52"/>
      <c r="AL133" s="52"/>
      <c r="AM133" s="52"/>
      <c r="AN133" s="52"/>
      <c r="AO133" s="12"/>
    </row>
    <row r="134" spans="1:41" x14ac:dyDescent="0.25">
      <c r="A134" s="3" t="s">
        <v>42</v>
      </c>
      <c r="B134" s="52">
        <f t="shared" ref="B134:J134" si="48">B105*$B$117</f>
        <v>404517.02397364029</v>
      </c>
      <c r="C134" s="52">
        <f t="shared" si="48"/>
        <v>704125.85075124714</v>
      </c>
      <c r="D134" s="52">
        <f t="shared" si="48"/>
        <v>1111002.0352640464</v>
      </c>
      <c r="E134" s="52">
        <f t="shared" si="48"/>
        <v>1464244.5409092498</v>
      </c>
      <c r="F134" s="52">
        <f t="shared" si="48"/>
        <v>1817487.0465544525</v>
      </c>
      <c r="G134" s="52">
        <f t="shared" si="48"/>
        <v>2188510.5202864096</v>
      </c>
      <c r="H134" s="52">
        <f t="shared" si="48"/>
        <v>2541753.0259316121</v>
      </c>
      <c r="I134" s="52">
        <f t="shared" si="48"/>
        <v>3248238.0372220185</v>
      </c>
      <c r="J134" s="52">
        <f t="shared" si="48"/>
        <v>5692480.6147669218</v>
      </c>
      <c r="K134" s="52"/>
      <c r="L134" s="52"/>
      <c r="M134" s="52"/>
      <c r="N134" s="52"/>
      <c r="AE134" s="12"/>
      <c r="AF134" s="12"/>
      <c r="AG134" s="12"/>
      <c r="AH134" s="12"/>
      <c r="AI134" s="12"/>
      <c r="AJ134" s="12"/>
      <c r="AK134" s="12"/>
      <c r="AL134" s="12"/>
      <c r="AM134" s="12"/>
      <c r="AN134" s="12"/>
    </row>
    <row r="135" spans="1:41" x14ac:dyDescent="0.25">
      <c r="A135" s="3" t="s">
        <v>43</v>
      </c>
      <c r="B135" s="52">
        <f t="shared" ref="B135:J135" si="49">B106*$B$117</f>
        <v>344950.7808830163</v>
      </c>
      <c r="C135" s="52">
        <f t="shared" si="49"/>
        <v>644559.60766062315</v>
      </c>
      <c r="D135" s="52">
        <f t="shared" si="49"/>
        <v>944168.43443822989</v>
      </c>
      <c r="E135" s="52">
        <f t="shared" si="49"/>
        <v>1243777.261215837</v>
      </c>
      <c r="F135" s="52">
        <f t="shared" si="49"/>
        <v>1757920.8034638287</v>
      </c>
      <c r="G135" s="52">
        <f t="shared" si="49"/>
        <v>2128944.2771957857</v>
      </c>
      <c r="H135" s="52">
        <f t="shared" si="49"/>
        <v>2482186.7828409886</v>
      </c>
      <c r="I135" s="52">
        <f t="shared" si="49"/>
        <v>3188671.7941313945</v>
      </c>
      <c r="J135" s="52">
        <f t="shared" si="49"/>
        <v>3912937.7735085548</v>
      </c>
      <c r="K135" s="52"/>
      <c r="L135" s="52"/>
      <c r="M135" s="52"/>
      <c r="N135" s="52"/>
      <c r="O135" s="52"/>
      <c r="AE135" s="11"/>
    </row>
    <row r="136" spans="1:41" x14ac:dyDescent="0.25">
      <c r="A136" s="3" t="s">
        <v>44</v>
      </c>
      <c r="B136" s="52">
        <f t="shared" ref="B136:J136" si="50">B107*$B$117</f>
        <v>338727.44205265271</v>
      </c>
      <c r="C136" s="52">
        <f t="shared" si="50"/>
        <v>616143.02240228863</v>
      </c>
      <c r="D136" s="52">
        <f t="shared" si="50"/>
        <v>893558.60275192454</v>
      </c>
      <c r="E136" s="52">
        <f t="shared" si="50"/>
        <v>1237553.9223854733</v>
      </c>
      <c r="F136" s="52">
        <f t="shared" si="50"/>
        <v>1537162.7491630802</v>
      </c>
      <c r="G136" s="52">
        <f t="shared" si="50"/>
        <v>1854552.5440274405</v>
      </c>
      <c r="H136" s="52">
        <f t="shared" si="50"/>
        <v>2154161.3708050475</v>
      </c>
      <c r="I136" s="52">
        <f t="shared" si="50"/>
        <v>2753379.0243602609</v>
      </c>
      <c r="J136" s="52">
        <f t="shared" si="50"/>
        <v>3906714.4346781913</v>
      </c>
      <c r="K136" s="52"/>
      <c r="L136" s="52"/>
      <c r="M136" s="52"/>
      <c r="N136" s="52"/>
      <c r="O136" s="52"/>
    </row>
    <row r="137" spans="1:41" x14ac:dyDescent="0.25">
      <c r="A137" s="3" t="s">
        <v>45</v>
      </c>
      <c r="B137" s="52">
        <f t="shared" ref="B137:J137" si="51">B108*$B$117</f>
        <v>267603.56970563898</v>
      </c>
      <c r="C137" s="52">
        <f t="shared" si="51"/>
        <v>489536.03398534772</v>
      </c>
      <c r="D137" s="52">
        <f t="shared" si="51"/>
        <v>822434.73040491086</v>
      </c>
      <c r="E137" s="52">
        <f t="shared" si="51"/>
        <v>1099850.3107545467</v>
      </c>
      <c r="F137" s="52">
        <f t="shared" si="51"/>
        <v>1377265.8911041827</v>
      </c>
      <c r="G137" s="52">
        <f t="shared" si="51"/>
        <v>1672462.4395405722</v>
      </c>
      <c r="H137" s="52">
        <f t="shared" si="51"/>
        <v>1949878.0198902078</v>
      </c>
      <c r="I137" s="52">
        <f t="shared" si="51"/>
        <v>2504709.1805894799</v>
      </c>
      <c r="J137" s="52">
        <f t="shared" si="51"/>
        <v>3299253.7736552143</v>
      </c>
      <c r="K137" s="52"/>
      <c r="L137" s="52"/>
      <c r="M137" s="52"/>
      <c r="N137" s="52"/>
      <c r="O137" s="52"/>
    </row>
    <row r="138" spans="1:41" x14ac:dyDescent="0.25">
      <c r="A138" s="3" t="s">
        <v>46</v>
      </c>
      <c r="B138" s="52">
        <f t="shared" ref="B138:J138" si="52">B109*$B$117</f>
        <v>194701.60054994992</v>
      </c>
      <c r="C138" s="52">
        <f t="shared" si="52"/>
        <v>416634.06482965878</v>
      </c>
      <c r="D138" s="52">
        <f t="shared" si="52"/>
        <v>749532.76124922174</v>
      </c>
      <c r="E138" s="52">
        <f t="shared" si="52"/>
        <v>1026948.3415988578</v>
      </c>
      <c r="F138" s="52">
        <f t="shared" si="52"/>
        <v>1304363.9219484937</v>
      </c>
      <c r="G138" s="52">
        <f t="shared" si="52"/>
        <v>1599560.4703848832</v>
      </c>
      <c r="H138" s="52">
        <f t="shared" si="52"/>
        <v>1876976.050734519</v>
      </c>
      <c r="I138" s="52">
        <f t="shared" si="52"/>
        <v>2431807.2114337906</v>
      </c>
      <c r="J138" s="52">
        <f t="shared" si="52"/>
        <v>3226351.8044995251</v>
      </c>
      <c r="K138" s="52"/>
      <c r="L138" s="52"/>
      <c r="M138" s="52"/>
      <c r="N138" s="52"/>
      <c r="O138" s="52"/>
    </row>
    <row r="139" spans="1:41" x14ac:dyDescent="0.25">
      <c r="A139" s="3" t="s">
        <v>47</v>
      </c>
      <c r="B139" s="52">
        <f t="shared" ref="B139:J139" si="53">B110*$B$117</f>
        <v>194701.60054994992</v>
      </c>
      <c r="C139" s="52">
        <f t="shared" si="53"/>
        <v>416634.06482965878</v>
      </c>
      <c r="D139" s="52">
        <f t="shared" si="53"/>
        <v>638566.52910936752</v>
      </c>
      <c r="E139" s="52">
        <f t="shared" si="53"/>
        <v>860498.99338907632</v>
      </c>
      <c r="F139" s="52">
        <f t="shared" si="53"/>
        <v>1304363.9219484937</v>
      </c>
      <c r="G139" s="52">
        <f t="shared" si="53"/>
        <v>1599560.4703848832</v>
      </c>
      <c r="H139" s="52">
        <f t="shared" si="53"/>
        <v>1876976.050734519</v>
      </c>
      <c r="I139" s="52">
        <f t="shared" si="53"/>
        <v>2431807.2114337906</v>
      </c>
      <c r="J139" s="52">
        <f t="shared" si="53"/>
        <v>3004419.3402198162</v>
      </c>
      <c r="K139" s="52"/>
      <c r="L139" s="52"/>
      <c r="M139" s="52"/>
      <c r="N139" s="52"/>
      <c r="O139" s="52"/>
    </row>
    <row r="140" spans="1:41" x14ac:dyDescent="0.25">
      <c r="A140" s="3" t="s">
        <v>48</v>
      </c>
      <c r="B140" s="52">
        <f t="shared" ref="B140:J140" si="54">B111*$B$117</f>
        <v>162695.85799379379</v>
      </c>
      <c r="C140" s="52">
        <f t="shared" si="54"/>
        <v>384628.32227350259</v>
      </c>
      <c r="D140" s="52">
        <f t="shared" si="54"/>
        <v>606560.78655321139</v>
      </c>
      <c r="E140" s="52">
        <f t="shared" si="54"/>
        <v>828493.25083292031</v>
      </c>
      <c r="F140" s="52">
        <f t="shared" si="54"/>
        <v>1050425.7151126291</v>
      </c>
      <c r="G140" s="52">
        <f t="shared" si="54"/>
        <v>1290139.1474790911</v>
      </c>
      <c r="H140" s="52">
        <f t="shared" si="54"/>
        <v>1512071.6117588</v>
      </c>
      <c r="I140" s="52">
        <f t="shared" si="54"/>
        <v>2399801.468877635</v>
      </c>
      <c r="J140" s="52">
        <f t="shared" si="54"/>
        <v>2972413.5976636601</v>
      </c>
      <c r="K140" s="52"/>
      <c r="L140" s="52"/>
      <c r="M140" s="52"/>
      <c r="N140" s="52"/>
      <c r="O140" s="52"/>
    </row>
    <row r="141" spans="1:41" x14ac:dyDescent="0.25">
      <c r="A141" s="3" t="s">
        <v>49</v>
      </c>
      <c r="B141" s="52">
        <f t="shared" ref="B141:J141" si="55">B112*$B$117</f>
        <v>162695.85799379379</v>
      </c>
      <c r="C141" s="52">
        <f t="shared" si="55"/>
        <v>347639.57822688442</v>
      </c>
      <c r="D141" s="52">
        <f t="shared" si="55"/>
        <v>606560.78655321139</v>
      </c>
      <c r="E141" s="52">
        <f t="shared" si="55"/>
        <v>828493.25083292031</v>
      </c>
      <c r="F141" s="52">
        <f t="shared" si="55"/>
        <v>1050425.7151126291</v>
      </c>
      <c r="G141" s="52">
        <f t="shared" si="55"/>
        <v>1290139.1474790911</v>
      </c>
      <c r="H141" s="52">
        <f t="shared" si="55"/>
        <v>1512071.6117588</v>
      </c>
      <c r="I141" s="52">
        <f t="shared" si="55"/>
        <v>1955936.5403182176</v>
      </c>
      <c r="J141" s="52">
        <f t="shared" si="55"/>
        <v>2972413.5976636601</v>
      </c>
      <c r="K141" s="52"/>
      <c r="L141" s="52"/>
      <c r="M141" s="52"/>
      <c r="N141" s="52"/>
      <c r="O141" s="52"/>
    </row>
    <row r="142" spans="1:41" x14ac:dyDescent="0.25">
      <c r="A142" s="3" t="s">
        <v>50</v>
      </c>
      <c r="B142" s="52">
        <f t="shared" ref="B142:J142" si="56">B113*$B$117</f>
        <v>136913.45426800134</v>
      </c>
      <c r="C142" s="52">
        <f t="shared" si="56"/>
        <v>321857.174501092</v>
      </c>
      <c r="D142" s="52">
        <f t="shared" si="56"/>
        <v>580778.38282741886</v>
      </c>
      <c r="E142" s="52">
        <f t="shared" si="56"/>
        <v>802710.84710712777</v>
      </c>
      <c r="F142" s="52">
        <f t="shared" si="56"/>
        <v>1024643.3113868365</v>
      </c>
      <c r="G142" s="52">
        <f t="shared" si="56"/>
        <v>1264356.7437532987</v>
      </c>
      <c r="H142" s="52">
        <f t="shared" si="56"/>
        <v>1486289.2080330076</v>
      </c>
      <c r="I142" s="52">
        <f t="shared" si="56"/>
        <v>1930154.1365924252</v>
      </c>
      <c r="J142" s="52">
        <f t="shared" si="56"/>
        <v>2391800.0332385963</v>
      </c>
      <c r="K142" s="52"/>
      <c r="L142" s="52"/>
      <c r="M142" s="52"/>
      <c r="N142" s="52"/>
      <c r="O142" s="52"/>
      <c r="AE142" s="3"/>
    </row>
    <row r="143" spans="1:41" x14ac:dyDescent="0.25">
      <c r="A143" s="3"/>
      <c r="B143" s="52"/>
      <c r="C143" s="52"/>
      <c r="D143" s="52"/>
      <c r="E143" s="52"/>
      <c r="F143" s="52"/>
      <c r="G143" s="52"/>
      <c r="H143" s="52"/>
      <c r="I143" s="52"/>
      <c r="J143" s="52"/>
      <c r="K143" s="52"/>
      <c r="L143" s="52"/>
      <c r="M143" s="52"/>
      <c r="N143" s="52"/>
      <c r="O143" s="52"/>
      <c r="AE143" s="3"/>
    </row>
    <row r="144" spans="1:41" x14ac:dyDescent="0.25">
      <c r="A144" s="1" t="s">
        <v>52</v>
      </c>
      <c r="B144" s="56" t="s">
        <v>53</v>
      </c>
      <c r="C144" s="52"/>
      <c r="D144" s="52"/>
      <c r="E144" s="52"/>
      <c r="F144" s="52"/>
      <c r="G144" s="52"/>
      <c r="H144" s="52"/>
      <c r="I144" s="52"/>
      <c r="J144" s="12"/>
      <c r="K144" s="12"/>
      <c r="L144" s="12"/>
      <c r="M144" s="12"/>
      <c r="N144" s="12"/>
      <c r="O144" s="12"/>
      <c r="P144" s="12"/>
      <c r="Q144" s="12"/>
      <c r="R144" s="12"/>
      <c r="AE144" s="3"/>
    </row>
    <row r="145" spans="1:41" x14ac:dyDescent="0.25">
      <c r="A145" s="3"/>
      <c r="B145" s="1" t="s">
        <v>30</v>
      </c>
      <c r="C145" s="36"/>
      <c r="D145" s="36"/>
      <c r="E145" s="36"/>
      <c r="F145" s="36"/>
      <c r="G145" s="36"/>
      <c r="H145" s="36"/>
      <c r="I145" s="36"/>
      <c r="J145" s="36"/>
      <c r="K145" s="36"/>
      <c r="L145" s="36"/>
      <c r="M145" s="36"/>
      <c r="N145" s="36"/>
      <c r="Q145" s="11"/>
      <c r="R145" s="12"/>
    </row>
    <row r="146" spans="1:41" x14ac:dyDescent="0.25">
      <c r="A146" s="3" t="s">
        <v>31</v>
      </c>
      <c r="B146" s="36">
        <v>0</v>
      </c>
      <c r="C146" s="36">
        <v>5</v>
      </c>
      <c r="D146" s="36">
        <v>10</v>
      </c>
      <c r="E146" s="36">
        <v>15</v>
      </c>
      <c r="F146" s="36">
        <v>20</v>
      </c>
      <c r="G146" s="36">
        <v>25</v>
      </c>
      <c r="H146" s="36">
        <v>30</v>
      </c>
      <c r="I146" s="36">
        <v>40</v>
      </c>
      <c r="J146" s="36">
        <v>50</v>
      </c>
      <c r="K146" s="36"/>
      <c r="L146" s="36"/>
      <c r="M146" s="36"/>
      <c r="N146" s="36"/>
      <c r="P146" s="11"/>
      <c r="Q146" s="11"/>
      <c r="R146" s="12"/>
    </row>
    <row r="147" spans="1:41" x14ac:dyDescent="0.25">
      <c r="A147" s="5" t="s">
        <v>32</v>
      </c>
      <c r="B147" s="50">
        <f t="shared" ref="B147:B155" si="57">B124+B95*0.025+$C$83</f>
        <v>917805.72743202792</v>
      </c>
      <c r="C147" s="50">
        <f t="shared" ref="C147:J155" si="58">C124+(0.01*(C95-$B95)+(0.025*$B95))+$C$85+$C$88*C$146+$C$83</f>
        <v>1737106.8413816055</v>
      </c>
      <c r="D147" s="50">
        <f t="shared" si="58"/>
        <v>4716137.8329550689</v>
      </c>
      <c r="E147" s="50">
        <f t="shared" si="58"/>
        <v>6585011.1538709709</v>
      </c>
      <c r="F147" s="50">
        <f t="shared" si="58"/>
        <v>8453884.474786872</v>
      </c>
      <c r="G147" s="50">
        <f t="shared" si="58"/>
        <v>10342269.77703785</v>
      </c>
      <c r="H147" s="50">
        <f t="shared" si="58"/>
        <v>12211143.097953752</v>
      </c>
      <c r="I147" s="50">
        <f t="shared" si="58"/>
        <v>15948889.739785556</v>
      </c>
      <c r="J147" s="50">
        <f t="shared" si="58"/>
        <v>19706148.362952434</v>
      </c>
      <c r="K147" s="52"/>
      <c r="L147" s="52"/>
      <c r="M147" s="52"/>
      <c r="N147" s="36"/>
      <c r="P147" s="11"/>
      <c r="Q147" s="11"/>
      <c r="R147" s="12"/>
    </row>
    <row r="148" spans="1:41" x14ac:dyDescent="0.25">
      <c r="A148" s="5" t="s">
        <v>33</v>
      </c>
      <c r="B148" s="50">
        <f t="shared" si="57"/>
        <v>917805.72743202792</v>
      </c>
      <c r="C148" s="50">
        <f t="shared" si="58"/>
        <v>1737106.8413816055</v>
      </c>
      <c r="D148" s="50">
        <f t="shared" si="58"/>
        <v>3383344.1102067549</v>
      </c>
      <c r="E148" s="50">
        <f t="shared" si="58"/>
        <v>6585011.1538709709</v>
      </c>
      <c r="F148" s="50">
        <f t="shared" si="58"/>
        <v>8453884.474786872</v>
      </c>
      <c r="G148" s="50">
        <f t="shared" si="58"/>
        <v>10342269.77703785</v>
      </c>
      <c r="H148" s="50">
        <f t="shared" si="58"/>
        <v>12211143.097953752</v>
      </c>
      <c r="I148" s="50">
        <f t="shared" si="58"/>
        <v>15948889.739785556</v>
      </c>
      <c r="J148" s="50">
        <f t="shared" si="58"/>
        <v>19706148.362952434</v>
      </c>
      <c r="K148" s="52"/>
      <c r="L148" s="52"/>
      <c r="M148" s="52"/>
      <c r="N148" s="36"/>
      <c r="P148" s="11"/>
      <c r="Q148" s="11"/>
      <c r="R148" s="12"/>
    </row>
    <row r="149" spans="1:41" x14ac:dyDescent="0.25">
      <c r="A149" s="5" t="s">
        <v>34</v>
      </c>
      <c r="B149" s="50">
        <f t="shared" si="57"/>
        <v>917805.72743202792</v>
      </c>
      <c r="C149" s="50">
        <f t="shared" si="58"/>
        <v>1641315.2126794432</v>
      </c>
      <c r="D149" s="50">
        <f t="shared" si="58"/>
        <v>2495822.491639948</v>
      </c>
      <c r="E149" s="50">
        <f t="shared" si="58"/>
        <v>4585820.5697485004</v>
      </c>
      <c r="F149" s="50">
        <f t="shared" si="58"/>
        <v>8453884.474786872</v>
      </c>
      <c r="G149" s="50">
        <f t="shared" si="58"/>
        <v>10342269.77703785</v>
      </c>
      <c r="H149" s="50">
        <f t="shared" si="58"/>
        <v>12211143.097953752</v>
      </c>
      <c r="I149" s="50">
        <f t="shared" si="58"/>
        <v>15948889.739785556</v>
      </c>
      <c r="J149" s="50">
        <f t="shared" si="58"/>
        <v>19706148.362952434</v>
      </c>
      <c r="K149" s="52"/>
      <c r="L149" s="52"/>
      <c r="M149" s="52"/>
      <c r="N149" s="36"/>
      <c r="P149" s="11"/>
      <c r="Q149" s="11"/>
      <c r="R149" s="12"/>
    </row>
    <row r="150" spans="1:41" x14ac:dyDescent="0.25">
      <c r="A150" s="5" t="s">
        <v>35</v>
      </c>
      <c r="B150" s="50">
        <f t="shared" si="57"/>
        <v>917805.72743202792</v>
      </c>
      <c r="C150" s="50">
        <f t="shared" si="58"/>
        <v>1641315.2126794432</v>
      </c>
      <c r="D150" s="50">
        <f t="shared" si="58"/>
        <v>2304239.2342356234</v>
      </c>
      <c r="E150" s="50">
        <f t="shared" si="58"/>
        <v>3254538.1418982907</v>
      </c>
      <c r="F150" s="50">
        <f t="shared" si="58"/>
        <v>4013253.7921566325</v>
      </c>
      <c r="G150" s="50">
        <f t="shared" si="58"/>
        <v>7010285.4701670669</v>
      </c>
      <c r="H150" s="50">
        <f t="shared" si="58"/>
        <v>12211143.097953752</v>
      </c>
      <c r="I150" s="50">
        <f t="shared" si="58"/>
        <v>15948889.739785556</v>
      </c>
      <c r="J150" s="50">
        <f t="shared" si="58"/>
        <v>19706148.362952434</v>
      </c>
      <c r="K150" s="52"/>
      <c r="L150" s="52"/>
      <c r="M150" s="52"/>
      <c r="N150" s="36"/>
      <c r="P150" s="11"/>
      <c r="Q150" s="11"/>
      <c r="R150" s="12"/>
    </row>
    <row r="151" spans="1:41" x14ac:dyDescent="0.25">
      <c r="A151" s="5" t="s">
        <v>36</v>
      </c>
      <c r="B151" s="50">
        <f t="shared" si="57"/>
        <v>917805.72743202792</v>
      </c>
      <c r="C151" s="50">
        <f t="shared" si="58"/>
        <v>1641315.2126794432</v>
      </c>
      <c r="D151" s="50">
        <f t="shared" si="58"/>
        <v>2304239.2342356234</v>
      </c>
      <c r="E151" s="50">
        <f t="shared" si="58"/>
        <v>2967163.2557918038</v>
      </c>
      <c r="F151" s="50">
        <f t="shared" si="58"/>
        <v>4013253.7921566325</v>
      </c>
      <c r="G151" s="50">
        <f t="shared" si="58"/>
        <v>4791481.4237500494</v>
      </c>
      <c r="H151" s="50">
        <f t="shared" si="58"/>
        <v>5550197.0740083922</v>
      </c>
      <c r="I151" s="50">
        <f t="shared" si="58"/>
        <v>7067628.3745250767</v>
      </c>
      <c r="J151" s="50">
        <f t="shared" si="58"/>
        <v>8604571.6563768368</v>
      </c>
      <c r="K151" s="52"/>
      <c r="L151" s="52"/>
      <c r="M151" s="52"/>
      <c r="N151" s="36"/>
      <c r="P151" s="11"/>
      <c r="Q151" s="11"/>
      <c r="R151" s="12"/>
    </row>
    <row r="152" spans="1:41" x14ac:dyDescent="0.25">
      <c r="A152" s="3" t="s">
        <v>37</v>
      </c>
      <c r="B152" s="52">
        <f t="shared" si="57"/>
        <v>917805.72743202792</v>
      </c>
      <c r="C152" s="52">
        <f t="shared" si="58"/>
        <v>1641315.2126794432</v>
      </c>
      <c r="D152" s="52">
        <f t="shared" si="58"/>
        <v>2304239.2342356234</v>
      </c>
      <c r="E152" s="52">
        <f t="shared" si="58"/>
        <v>2967163.2557918038</v>
      </c>
      <c r="F152" s="52">
        <f t="shared" si="58"/>
        <v>3630087.2773479833</v>
      </c>
      <c r="G152" s="52">
        <f t="shared" si="58"/>
        <v>4791481.4237500494</v>
      </c>
      <c r="H152" s="52">
        <f t="shared" si="58"/>
        <v>5550197.0740083922</v>
      </c>
      <c r="I152" s="52">
        <f t="shared" si="58"/>
        <v>7067628.3745250767</v>
      </c>
      <c r="J152" s="52">
        <f t="shared" si="58"/>
        <v>8604571.6563768368</v>
      </c>
      <c r="K152" s="52"/>
      <c r="L152" s="52"/>
      <c r="M152" s="52"/>
      <c r="N152" s="52"/>
      <c r="R152" s="12"/>
      <c r="AE152" s="3"/>
    </row>
    <row r="153" spans="1:41" x14ac:dyDescent="0.25">
      <c r="A153" s="3" t="s">
        <v>38</v>
      </c>
      <c r="B153" s="52">
        <f t="shared" si="57"/>
        <v>830477.14766218211</v>
      </c>
      <c r="C153" s="52">
        <f t="shared" si="58"/>
        <v>1365244.6526277938</v>
      </c>
      <c r="D153" s="52">
        <f t="shared" si="58"/>
        <v>2216910.6544657773</v>
      </c>
      <c r="E153" s="52">
        <f t="shared" si="58"/>
        <v>2879834.6760219578</v>
      </c>
      <c r="F153" s="52">
        <f t="shared" si="58"/>
        <v>3542758.6975781373</v>
      </c>
      <c r="G153" s="52">
        <f t="shared" si="58"/>
        <v>4225194.7004693914</v>
      </c>
      <c r="H153" s="52">
        <f t="shared" si="58"/>
        <v>4888118.7220255714</v>
      </c>
      <c r="I153" s="52">
        <f t="shared" si="58"/>
        <v>6980299.7947552307</v>
      </c>
      <c r="J153" s="52">
        <f t="shared" si="58"/>
        <v>8517243.0766069889</v>
      </c>
      <c r="K153" s="52"/>
      <c r="L153" s="52"/>
      <c r="M153" s="52"/>
      <c r="N153" s="52"/>
      <c r="R153" s="12"/>
    </row>
    <row r="154" spans="1:41" x14ac:dyDescent="0.25">
      <c r="A154" s="3" t="s">
        <v>39</v>
      </c>
      <c r="B154" s="52">
        <f t="shared" si="57"/>
        <v>786260.14524706989</v>
      </c>
      <c r="C154" s="52">
        <f t="shared" si="58"/>
        <v>1321027.6502126823</v>
      </c>
      <c r="D154" s="52">
        <f t="shared" si="58"/>
        <v>1795209.6914870592</v>
      </c>
      <c r="E154" s="52">
        <f t="shared" si="58"/>
        <v>2835617.673606846</v>
      </c>
      <c r="F154" s="52">
        <f t="shared" si="58"/>
        <v>3498541.695163026</v>
      </c>
      <c r="G154" s="52">
        <f t="shared" si="58"/>
        <v>4180977.6980542801</v>
      </c>
      <c r="H154" s="52">
        <f t="shared" si="58"/>
        <v>4843901.7196104592</v>
      </c>
      <c r="I154" s="52">
        <f t="shared" si="58"/>
        <v>6169749.7627228191</v>
      </c>
      <c r="J154" s="52">
        <f t="shared" si="58"/>
        <v>8473026.0741918776</v>
      </c>
      <c r="K154" s="52"/>
      <c r="L154" s="52"/>
      <c r="M154" s="52"/>
      <c r="N154" s="52"/>
      <c r="R154" s="12"/>
    </row>
    <row r="155" spans="1:41" x14ac:dyDescent="0.25">
      <c r="A155" s="3" t="s">
        <v>40</v>
      </c>
      <c r="B155" s="52">
        <f t="shared" si="57"/>
        <v>719934.64162440225</v>
      </c>
      <c r="C155" s="52">
        <f t="shared" si="58"/>
        <v>1254702.1465900145</v>
      </c>
      <c r="D155" s="52">
        <f t="shared" si="58"/>
        <v>1728884.1878643914</v>
      </c>
      <c r="E155" s="52">
        <f t="shared" si="58"/>
        <v>2203066.2291387683</v>
      </c>
      <c r="F155" s="52">
        <f t="shared" si="58"/>
        <v>2677248.2704131459</v>
      </c>
      <c r="G155" s="52">
        <f t="shared" si="58"/>
        <v>4114652.1944316123</v>
      </c>
      <c r="H155" s="52">
        <f t="shared" si="58"/>
        <v>4777576.2159877922</v>
      </c>
      <c r="I155" s="52">
        <f t="shared" si="58"/>
        <v>6103424.2591001531</v>
      </c>
      <c r="J155" s="52">
        <f t="shared" si="58"/>
        <v>7448784.2835475858</v>
      </c>
      <c r="K155" s="52"/>
      <c r="L155" s="52"/>
      <c r="M155" s="52"/>
      <c r="N155" s="52"/>
      <c r="R155" s="12"/>
    </row>
    <row r="156" spans="1:41" x14ac:dyDescent="0.25">
      <c r="A156" s="3" t="s">
        <v>41</v>
      </c>
      <c r="B156" s="52">
        <f>B133+B104*0.025+$C$84</f>
        <v>650694.11169156176</v>
      </c>
      <c r="C156" s="52">
        <f>C133+(0.01*(C104-$B104)+(0.025*$B104))+C85+C88*C$146+$C$84</f>
        <v>1185461.6166571742</v>
      </c>
      <c r="D156" s="52">
        <f t="shared" ref="D156:J160" si="59">D133+(0.01*(D104-$B104)+(0.025*$B104))+$C$85+$C$88*D$146+$C$84</f>
        <v>1659643.6579315511</v>
      </c>
      <c r="E156" s="52">
        <f t="shared" si="59"/>
        <v>2133825.699205928</v>
      </c>
      <c r="F156" s="52">
        <f t="shared" si="59"/>
        <v>2608007.7404803052</v>
      </c>
      <c r="G156" s="52">
        <f t="shared" si="59"/>
        <v>3101701.7630897565</v>
      </c>
      <c r="H156" s="52">
        <f t="shared" si="59"/>
        <v>3575883.8043641336</v>
      </c>
      <c r="I156" s="52">
        <f t="shared" si="59"/>
        <v>6034183.7291673133</v>
      </c>
      <c r="J156" s="52">
        <f t="shared" si="59"/>
        <v>7379543.753614746</v>
      </c>
      <c r="K156" s="52"/>
      <c r="L156" s="52"/>
      <c r="M156" s="52"/>
      <c r="N156" s="52"/>
      <c r="R156" s="12"/>
      <c r="AE156" s="11"/>
      <c r="AF156" s="11"/>
      <c r="AG156" s="11"/>
      <c r="AH156" s="11"/>
      <c r="AI156" s="11"/>
      <c r="AJ156" s="11"/>
      <c r="AK156" s="11"/>
      <c r="AL156" s="11"/>
      <c r="AM156" s="11"/>
      <c r="AN156" s="11"/>
      <c r="AO156" s="12"/>
    </row>
    <row r="157" spans="1:41" x14ac:dyDescent="0.25">
      <c r="A157" s="3" t="s">
        <v>42</v>
      </c>
      <c r="B157" s="52">
        <f>B134+B105*0.025+$C$84</f>
        <v>572208.93240473815</v>
      </c>
      <c r="C157" s="52">
        <f>C134+(0.01*(C105-$B105)+(0.025*$B105))+$C$85+$C$88*C$146+$C$84</f>
        <v>1048121.4112609712</v>
      </c>
      <c r="D157" s="52">
        <f t="shared" si="59"/>
        <v>1581158.4786447275</v>
      </c>
      <c r="E157" s="52">
        <f t="shared" si="59"/>
        <v>2055340.5199191046</v>
      </c>
      <c r="F157" s="52">
        <f t="shared" si="59"/>
        <v>2529522.5611934806</v>
      </c>
      <c r="G157" s="52">
        <f t="shared" si="59"/>
        <v>3023216.5838029333</v>
      </c>
      <c r="H157" s="52">
        <f t="shared" si="59"/>
        <v>3497398.6250773096</v>
      </c>
      <c r="I157" s="52">
        <f t="shared" si="59"/>
        <v>4445762.7076260643</v>
      </c>
      <c r="J157" s="52">
        <f t="shared" si="59"/>
        <v>7301058.5743279224</v>
      </c>
      <c r="K157" s="52"/>
      <c r="L157" s="52"/>
      <c r="M157" s="52"/>
      <c r="N157" s="52"/>
      <c r="R157" s="12"/>
      <c r="AE157" s="3"/>
      <c r="AF157" s="11"/>
      <c r="AG157" s="11"/>
      <c r="AH157" s="11"/>
      <c r="AI157" s="11"/>
      <c r="AJ157" s="11"/>
      <c r="AK157" s="11"/>
      <c r="AL157" s="11"/>
      <c r="AM157" s="11"/>
      <c r="AN157" s="11"/>
      <c r="AO157" s="12"/>
    </row>
    <row r="158" spans="1:41" x14ac:dyDescent="0.25">
      <c r="A158" s="3" t="s">
        <v>43</v>
      </c>
      <c r="B158" s="52">
        <f>B135+B106*0.025+$C$84</f>
        <v>498145.45335942565</v>
      </c>
      <c r="C158" s="52">
        <f>C135+(0.01*(C106-$B106)+(0.025*$B106))+$C$85+$C$88*C$146+$C$84</f>
        <v>974057.9322156586</v>
      </c>
      <c r="D158" s="52">
        <f t="shared" si="59"/>
        <v>1389384.9473806561</v>
      </c>
      <c r="E158" s="52">
        <f t="shared" si="59"/>
        <v>1804711.962545654</v>
      </c>
      <c r="F158" s="52">
        <f t="shared" si="59"/>
        <v>2455459.0821481687</v>
      </c>
      <c r="G158" s="52">
        <f t="shared" si="59"/>
        <v>2949153.1047576205</v>
      </c>
      <c r="H158" s="52">
        <f t="shared" si="59"/>
        <v>3423335.1460319976</v>
      </c>
      <c r="I158" s="52">
        <f t="shared" si="59"/>
        <v>4371699.2285807515</v>
      </c>
      <c r="J158" s="52">
        <f t="shared" si="59"/>
        <v>5339575.2924645804</v>
      </c>
      <c r="K158" s="52"/>
      <c r="L158" s="52"/>
      <c r="M158" s="52"/>
      <c r="N158" s="52"/>
      <c r="O158" s="52"/>
      <c r="R158" s="12"/>
      <c r="AE158" s="11"/>
      <c r="AF158" s="52"/>
      <c r="AG158" s="52"/>
      <c r="AH158" s="52"/>
      <c r="AI158" s="52"/>
      <c r="AJ158" s="52"/>
      <c r="AK158" s="52"/>
      <c r="AL158" s="52"/>
      <c r="AM158" s="52"/>
      <c r="AN158" s="52"/>
      <c r="AO158" s="12"/>
    </row>
    <row r="159" spans="1:41" x14ac:dyDescent="0.25">
      <c r="A159" s="3" t="s">
        <v>44</v>
      </c>
      <c r="B159" s="52">
        <f>B136+B107*0.025+$C$84</f>
        <v>490407.47793678124</v>
      </c>
      <c r="C159" s="52">
        <f>C136+(0.01*(C107-$B107)+(0.025*$B107))+$C$85+$C$88*C$146+$C$84</f>
        <v>941966.15288568486</v>
      </c>
      <c r="D159" s="52">
        <f t="shared" si="59"/>
        <v>1332939.3641433527</v>
      </c>
      <c r="E159" s="52">
        <f t="shared" si="59"/>
        <v>1796973.9871230095</v>
      </c>
      <c r="F159" s="52">
        <f t="shared" si="59"/>
        <v>2212301.0022880067</v>
      </c>
      <c r="G159" s="52">
        <f t="shared" si="59"/>
        <v>2647139.9987880788</v>
      </c>
      <c r="H159" s="52">
        <f t="shared" si="59"/>
        <v>3062467.0139530771</v>
      </c>
      <c r="I159" s="52">
        <f t="shared" si="59"/>
        <v>3893121.0442830715</v>
      </c>
      <c r="J159" s="52">
        <f t="shared" si="59"/>
        <v>5331837.3170419363</v>
      </c>
      <c r="K159" s="52"/>
      <c r="L159" s="52"/>
      <c r="M159" s="52"/>
      <c r="N159" s="52"/>
      <c r="O159" s="52"/>
      <c r="R159" s="12"/>
      <c r="AE159" s="11"/>
      <c r="AF159" s="52"/>
      <c r="AG159" s="52"/>
      <c r="AH159" s="52"/>
      <c r="AI159" s="52"/>
      <c r="AJ159" s="52"/>
      <c r="AK159" s="52"/>
      <c r="AL159" s="52"/>
      <c r="AM159" s="52"/>
      <c r="AN159" s="52"/>
      <c r="AO159" s="12"/>
    </row>
    <row r="160" spans="1:41" x14ac:dyDescent="0.25">
      <c r="A160" s="3" t="s">
        <v>45</v>
      </c>
      <c r="B160" s="52">
        <f>B137+B108*0.025+$C$84</f>
        <v>401973.47310655739</v>
      </c>
      <c r="C160" s="52">
        <f>C137+(0.01*(C108-$B108)+(0.025*$B108))+$C$85+$C$88*C$146+$C$84</f>
        <v>792647.63828713738</v>
      </c>
      <c r="D160" s="52">
        <f t="shared" si="59"/>
        <v>1244505.3593131292</v>
      </c>
      <c r="E160" s="52">
        <f t="shared" si="59"/>
        <v>1635478.5705707972</v>
      </c>
      <c r="F160" s="52">
        <f t="shared" si="59"/>
        <v>2026451.7818284652</v>
      </c>
      <c r="G160" s="52">
        <f t="shared" si="59"/>
        <v>2436936.9744212078</v>
      </c>
      <c r="H160" s="52">
        <f t="shared" si="59"/>
        <v>2827910.185678876</v>
      </c>
      <c r="I160" s="52">
        <f t="shared" si="59"/>
        <v>3609856.6081942124</v>
      </c>
      <c r="J160" s="52">
        <f t="shared" si="59"/>
        <v>4654853.0511179185</v>
      </c>
      <c r="K160" s="52"/>
      <c r="L160" s="18"/>
      <c r="M160" s="52"/>
      <c r="N160" s="52"/>
      <c r="O160" s="52"/>
      <c r="R160" s="12"/>
      <c r="AE160" s="11"/>
      <c r="AF160" s="52"/>
      <c r="AG160" s="52"/>
      <c r="AH160" s="52"/>
      <c r="AI160" s="52"/>
      <c r="AJ160" s="52"/>
      <c r="AK160" s="52"/>
      <c r="AL160" s="52"/>
      <c r="AM160" s="52"/>
      <c r="AN160" s="52"/>
      <c r="AO160" s="12"/>
    </row>
    <row r="161" spans="1:41" x14ac:dyDescent="0.25">
      <c r="A161" s="3" t="s">
        <v>46</v>
      </c>
      <c r="B161" s="52">
        <f>B138+B109*0.025</f>
        <v>242088.08822273757</v>
      </c>
      <c r="C161" s="52">
        <f t="shared" ref="C161:J164" si="60">C138+(0.01*(C109-$B109)+(0.025*$B109))+$C$85+$C$88*C$146</f>
        <v>632762.25340331765</v>
      </c>
      <c r="D161" s="52">
        <f t="shared" si="60"/>
        <v>1084619.9744293091</v>
      </c>
      <c r="E161" s="52">
        <f t="shared" si="60"/>
        <v>1475593.1856869773</v>
      </c>
      <c r="F161" s="52">
        <f t="shared" si="60"/>
        <v>1866566.3969446453</v>
      </c>
      <c r="G161" s="52">
        <f t="shared" si="60"/>
        <v>2277051.5895373882</v>
      </c>
      <c r="H161" s="52">
        <f t="shared" si="60"/>
        <v>2668024.8007950564</v>
      </c>
      <c r="I161" s="52">
        <f t="shared" si="60"/>
        <v>3449971.2233103923</v>
      </c>
      <c r="J161" s="52">
        <f t="shared" si="60"/>
        <v>4494967.6662340974</v>
      </c>
      <c r="K161" s="52"/>
      <c r="L161" s="18"/>
      <c r="M161" s="52"/>
      <c r="N161" s="52"/>
      <c r="O161" s="52"/>
      <c r="R161" s="12"/>
      <c r="AE161" s="11"/>
      <c r="AF161" s="52"/>
      <c r="AG161" s="52"/>
      <c r="AH161" s="52"/>
      <c r="AI161" s="52"/>
      <c r="AJ161" s="52"/>
      <c r="AK161" s="52"/>
      <c r="AL161" s="52"/>
      <c r="AM161" s="52"/>
      <c r="AN161" s="52"/>
      <c r="AO161" s="12"/>
    </row>
    <row r="162" spans="1:41" x14ac:dyDescent="0.25">
      <c r="A162" s="3" t="s">
        <v>47</v>
      </c>
      <c r="B162" s="52">
        <f>B139+B110*0.025</f>
        <v>242088.08822273757</v>
      </c>
      <c r="C162" s="52">
        <f t="shared" si="60"/>
        <v>632762.25340331765</v>
      </c>
      <c r="D162" s="52">
        <f t="shared" si="60"/>
        <v>962850.95489266235</v>
      </c>
      <c r="E162" s="52">
        <f t="shared" si="60"/>
        <v>1292939.6563820071</v>
      </c>
      <c r="F162" s="52">
        <f t="shared" si="60"/>
        <v>1866566.3969446453</v>
      </c>
      <c r="G162" s="52">
        <f t="shared" si="60"/>
        <v>2277051.5895373882</v>
      </c>
      <c r="H162" s="52">
        <f t="shared" si="60"/>
        <v>2668024.8007950564</v>
      </c>
      <c r="I162" s="52">
        <f t="shared" si="60"/>
        <v>3449971.2233103923</v>
      </c>
      <c r="J162" s="52">
        <f t="shared" si="60"/>
        <v>4251429.6271608034</v>
      </c>
      <c r="K162" s="52"/>
      <c r="L162" s="2"/>
      <c r="M162" s="52"/>
      <c r="N162" s="52"/>
      <c r="O162" s="52"/>
      <c r="R162" s="12"/>
      <c r="AE162" s="11"/>
      <c r="AF162" s="52"/>
      <c r="AG162" s="52"/>
      <c r="AH162" s="52"/>
      <c r="AI162" s="52"/>
      <c r="AJ162" s="52"/>
      <c r="AK162" s="52"/>
      <c r="AL162" s="52"/>
      <c r="AM162" s="52"/>
      <c r="AN162" s="52"/>
      <c r="AO162" s="12"/>
    </row>
    <row r="163" spans="1:41" x14ac:dyDescent="0.25">
      <c r="A163" s="3" t="s">
        <v>48</v>
      </c>
      <c r="B163" s="52">
        <f>B140+B111*0.025</f>
        <v>202292.78604913689</v>
      </c>
      <c r="C163" s="52">
        <f t="shared" si="60"/>
        <v>592966.95122971688</v>
      </c>
      <c r="D163" s="52">
        <f t="shared" si="60"/>
        <v>923055.65271906159</v>
      </c>
      <c r="E163" s="52">
        <f t="shared" si="60"/>
        <v>1253144.3542084063</v>
      </c>
      <c r="F163" s="52">
        <f t="shared" si="60"/>
        <v>1583233.055697751</v>
      </c>
      <c r="G163" s="52">
        <f t="shared" si="60"/>
        <v>1932833.7385221696</v>
      </c>
      <c r="H163" s="52">
        <f t="shared" si="60"/>
        <v>2262922.4400115144</v>
      </c>
      <c r="I163" s="52">
        <f t="shared" si="60"/>
        <v>3410175.9211367923</v>
      </c>
      <c r="J163" s="52">
        <f t="shared" si="60"/>
        <v>4211634.3249872029</v>
      </c>
      <c r="K163" s="52"/>
      <c r="L163" s="2"/>
      <c r="M163" s="52"/>
      <c r="N163" s="52"/>
      <c r="O163" s="52"/>
      <c r="R163" s="12"/>
      <c r="AE163" s="11"/>
      <c r="AF163" s="52"/>
      <c r="AG163" s="52"/>
      <c r="AH163" s="52"/>
      <c r="AI163" s="52"/>
      <c r="AJ163" s="52"/>
      <c r="AK163" s="52"/>
      <c r="AL163" s="52"/>
      <c r="AM163" s="52"/>
      <c r="AN163" s="52"/>
      <c r="AO163" s="12"/>
    </row>
    <row r="164" spans="1:41" x14ac:dyDescent="0.25">
      <c r="A164" s="3" t="s">
        <v>49</v>
      </c>
      <c r="B164" s="52">
        <f>B141+B112*0.025</f>
        <v>202292.78604913689</v>
      </c>
      <c r="C164" s="52">
        <f t="shared" si="60"/>
        <v>552377.27805083455</v>
      </c>
      <c r="D164" s="52">
        <f t="shared" si="60"/>
        <v>923055.65271906159</v>
      </c>
      <c r="E164" s="52">
        <f t="shared" si="60"/>
        <v>1253144.3542084063</v>
      </c>
      <c r="F164" s="52">
        <f t="shared" si="60"/>
        <v>1583233.055697751</v>
      </c>
      <c r="G164" s="52">
        <f t="shared" si="60"/>
        <v>1932833.7385221696</v>
      </c>
      <c r="H164" s="52">
        <f t="shared" si="60"/>
        <v>2262922.4400115144</v>
      </c>
      <c r="I164" s="52">
        <f t="shared" si="60"/>
        <v>2923099.8429902042</v>
      </c>
      <c r="J164" s="52">
        <f t="shared" si="60"/>
        <v>4211634.3249872029</v>
      </c>
      <c r="K164" s="52"/>
      <c r="L164" s="52"/>
      <c r="M164" s="52"/>
      <c r="N164" s="52"/>
      <c r="O164" s="52"/>
      <c r="R164" s="12"/>
      <c r="AE164" s="11"/>
      <c r="AF164" s="52"/>
      <c r="AG164" s="52"/>
      <c r="AH164" s="52"/>
      <c r="AI164" s="52"/>
      <c r="AJ164" s="52"/>
      <c r="AK164" s="52"/>
      <c r="AL164" s="52"/>
      <c r="AM164" s="52"/>
      <c r="AN164" s="52"/>
      <c r="AO164" s="12"/>
    </row>
    <row r="165" spans="1:41" x14ac:dyDescent="0.25">
      <c r="A165" s="3" t="s">
        <v>50</v>
      </c>
      <c r="B165" s="52">
        <f>B142+B113*0.025</f>
        <v>170235.45929818079</v>
      </c>
      <c r="C165" s="52">
        <f>C142+(0.01*(C113-$B113)+(0.025*$B113))+C85+$C$88*C$146</f>
        <v>520319.95129987842</v>
      </c>
      <c r="D165" s="52">
        <f t="shared" ref="D165:J165" si="61">D142+(0.01*(D113-$B113)+(0.025*$B113))+$C$85+$C$88*D$146</f>
        <v>890998.32596810546</v>
      </c>
      <c r="E165" s="52">
        <f t="shared" si="61"/>
        <v>1221087.0274574503</v>
      </c>
      <c r="F165" s="52">
        <f t="shared" si="61"/>
        <v>1551175.7289467948</v>
      </c>
      <c r="G165" s="52">
        <f t="shared" si="61"/>
        <v>1900776.4117712136</v>
      </c>
      <c r="H165" s="52">
        <f t="shared" si="61"/>
        <v>2230865.1132605583</v>
      </c>
      <c r="I165" s="52">
        <f t="shared" si="61"/>
        <v>2891042.5162392482</v>
      </c>
      <c r="J165" s="52">
        <f t="shared" si="61"/>
        <v>3570731.9005530123</v>
      </c>
      <c r="K165" s="52"/>
      <c r="L165" s="52"/>
      <c r="M165" s="52"/>
      <c r="N165" s="52"/>
      <c r="O165" s="52"/>
      <c r="R165" s="12"/>
      <c r="AE165" s="11"/>
      <c r="AF165" s="52"/>
      <c r="AG165" s="52"/>
      <c r="AH165" s="52"/>
      <c r="AI165" s="52"/>
      <c r="AJ165" s="52"/>
      <c r="AK165" s="52"/>
      <c r="AL165" s="52"/>
      <c r="AM165" s="52"/>
      <c r="AN165" s="52"/>
      <c r="AO165" s="12"/>
    </row>
    <row r="166" spans="1:41" ht="16.5" thickBot="1" x14ac:dyDescent="0.3">
      <c r="A166" s="3"/>
      <c r="B166" s="52"/>
      <c r="C166" s="52"/>
      <c r="D166" s="52"/>
      <c r="E166" s="52"/>
      <c r="F166" s="52"/>
      <c r="G166" s="52"/>
      <c r="H166" s="52"/>
      <c r="I166" s="52"/>
      <c r="J166" s="52"/>
      <c r="K166" s="52"/>
      <c r="L166" s="52"/>
      <c r="M166" s="52"/>
      <c r="N166" s="52"/>
      <c r="O166" s="52"/>
      <c r="R166" s="12"/>
      <c r="AE166" s="11"/>
      <c r="AF166" s="52"/>
      <c r="AG166" s="52"/>
      <c r="AH166" s="52"/>
      <c r="AI166" s="52"/>
      <c r="AJ166" s="52"/>
      <c r="AK166" s="52"/>
      <c r="AL166" s="52"/>
      <c r="AM166" s="52"/>
      <c r="AN166" s="52"/>
      <c r="AO166" s="12"/>
    </row>
    <row r="167" spans="1:41" x14ac:dyDescent="0.25">
      <c r="A167" s="3"/>
      <c r="B167" s="57"/>
      <c r="C167" s="58"/>
      <c r="D167" s="58"/>
      <c r="E167" s="58"/>
      <c r="F167" s="58"/>
      <c r="G167" s="58"/>
      <c r="H167" s="59"/>
      <c r="I167" s="52"/>
      <c r="J167" s="52"/>
      <c r="K167" s="52"/>
      <c r="L167" s="52"/>
      <c r="M167" s="52"/>
      <c r="N167" s="52"/>
      <c r="O167" s="52"/>
      <c r="R167" s="12"/>
      <c r="AE167" s="11"/>
      <c r="AF167" s="52"/>
      <c r="AG167" s="52"/>
      <c r="AH167" s="52"/>
      <c r="AI167" s="52"/>
      <c r="AJ167" s="52"/>
      <c r="AK167" s="52"/>
      <c r="AL167" s="52"/>
      <c r="AM167" s="52"/>
      <c r="AN167" s="52"/>
      <c r="AO167" s="12"/>
    </row>
    <row r="168" spans="1:41" ht="15" x14ac:dyDescent="0.2">
      <c r="A168" s="2"/>
      <c r="B168" s="60" t="s">
        <v>54</v>
      </c>
      <c r="E168" s="172" t="s">
        <v>638</v>
      </c>
      <c r="H168" s="61"/>
      <c r="I168" s="52"/>
      <c r="J168" s="52"/>
      <c r="K168" s="52"/>
      <c r="L168" s="52"/>
      <c r="M168" s="52"/>
      <c r="N168" s="52"/>
      <c r="O168" s="52"/>
      <c r="R168" s="12"/>
      <c r="AE168" s="11"/>
      <c r="AF168" s="52"/>
      <c r="AG168" s="52"/>
      <c r="AH168" s="52"/>
      <c r="AI168" s="52"/>
      <c r="AJ168" s="52"/>
      <c r="AK168" s="52"/>
      <c r="AL168" s="52"/>
      <c r="AM168" s="52"/>
      <c r="AN168" s="52"/>
      <c r="AO168" s="12"/>
    </row>
    <row r="169" spans="1:41" ht="15" x14ac:dyDescent="0.2">
      <c r="A169" s="4"/>
      <c r="B169" s="62"/>
      <c r="E169" s="18" t="s">
        <v>639</v>
      </c>
      <c r="H169" s="61"/>
      <c r="I169" s="52"/>
      <c r="J169" s="52"/>
      <c r="K169" s="52"/>
      <c r="L169" s="52"/>
      <c r="M169" s="52"/>
      <c r="N169" s="52"/>
      <c r="O169" s="52"/>
      <c r="R169" s="12"/>
      <c r="AE169" s="11"/>
      <c r="AF169" s="52"/>
      <c r="AG169" s="52"/>
      <c r="AH169" s="52"/>
      <c r="AI169" s="52"/>
      <c r="AJ169" s="52"/>
      <c r="AK169" s="52"/>
      <c r="AL169" s="52"/>
      <c r="AM169" s="52"/>
      <c r="AN169" s="52"/>
      <c r="AO169" s="12"/>
    </row>
    <row r="170" spans="1:41" ht="15" x14ac:dyDescent="0.2">
      <c r="A170" s="4"/>
      <c r="B170" s="62"/>
      <c r="E170" s="18" t="str">
        <f>"£" &amp;D88 &amp; " per km is added to all those with a distance greater than 0km"</f>
        <v>£17310 per km is added to all those with a distance greater than 0km</v>
      </c>
      <c r="H170" s="61"/>
      <c r="I170" s="52"/>
      <c r="J170" s="52"/>
      <c r="K170" s="52"/>
      <c r="L170" s="52"/>
      <c r="M170" s="52"/>
      <c r="N170" s="52"/>
      <c r="O170" s="52"/>
      <c r="R170" s="12"/>
      <c r="AE170" s="11"/>
      <c r="AF170" s="52"/>
      <c r="AG170" s="52"/>
      <c r="AH170" s="52"/>
      <c r="AI170" s="52"/>
      <c r="AJ170" s="52"/>
      <c r="AK170" s="52"/>
      <c r="AL170" s="52"/>
      <c r="AM170" s="52"/>
      <c r="AN170" s="52"/>
      <c r="AO170" s="12"/>
    </row>
    <row r="171" spans="1:41" ht="15" x14ac:dyDescent="0.2">
      <c r="A171" s="4"/>
      <c r="B171" s="62"/>
      <c r="E171" s="172" t="str">
        <f>"£" &amp; D85&amp; " is added to all those with a distance greater than 0km"</f>
        <v>£60585 is added to all those with a distance greater than 0km</v>
      </c>
      <c r="H171" s="63"/>
      <c r="I171" s="52"/>
      <c r="J171" s="52"/>
      <c r="K171" s="52"/>
      <c r="L171" s="52"/>
      <c r="M171" s="52"/>
      <c r="N171" s="52"/>
      <c r="O171" s="52"/>
      <c r="R171" s="12"/>
      <c r="AE171" s="11"/>
      <c r="AF171" s="52"/>
      <c r="AG171" s="52"/>
      <c r="AH171" s="52"/>
      <c r="AI171" s="52"/>
      <c r="AJ171" s="52"/>
      <c r="AK171" s="52"/>
      <c r="AL171" s="52"/>
      <c r="AM171" s="52"/>
      <c r="AN171" s="52"/>
      <c r="AO171" s="12"/>
    </row>
    <row r="172" spans="1:41" x14ac:dyDescent="0.25">
      <c r="A172" s="3"/>
      <c r="B172" s="62"/>
      <c r="D172" s="2"/>
      <c r="E172" s="64" t="str">
        <f>"£" &amp; D84 &amp; " is added to all those with a flow rate between 1 and 5 mcmd, inclusive"</f>
        <v>£69241 is added to all those with a flow rate between 1 and 5 mcmd, inclusive</v>
      </c>
      <c r="H172" s="63"/>
      <c r="R172" s="12"/>
      <c r="AE172" s="11"/>
      <c r="AF172" s="52"/>
      <c r="AG172" s="52"/>
      <c r="AH172" s="52"/>
      <c r="AI172" s="52"/>
      <c r="AJ172" s="52"/>
      <c r="AK172" s="52"/>
      <c r="AL172" s="52"/>
      <c r="AM172" s="52"/>
      <c r="AN172" s="52"/>
      <c r="AO172" s="12"/>
    </row>
    <row r="173" spans="1:41" x14ac:dyDescent="0.25">
      <c r="A173" s="3"/>
      <c r="B173" s="62"/>
      <c r="E173" s="64" t="str">
        <f>"£" &amp; D83 &amp; " is added to all those with a flow rate between 7 and 60 mcmd, inclusive"</f>
        <v>£138481 is added to all those with a flow rate between 7 and 60 mcmd, inclusive</v>
      </c>
      <c r="H173" s="63"/>
      <c r="R173" s="12"/>
      <c r="AE173" s="11"/>
      <c r="AF173" s="52"/>
      <c r="AG173" s="52"/>
      <c r="AH173" s="52"/>
      <c r="AI173" s="52"/>
      <c r="AJ173" s="52"/>
      <c r="AK173" s="52"/>
      <c r="AL173" s="52"/>
      <c r="AM173" s="52"/>
      <c r="AN173" s="52"/>
      <c r="AO173" s="12"/>
    </row>
    <row r="174" spans="1:41" ht="16.5" thickBot="1" x14ac:dyDescent="0.3">
      <c r="A174" s="3"/>
      <c r="B174" s="65"/>
      <c r="C174" s="66"/>
      <c r="D174" s="66"/>
      <c r="E174" s="66"/>
      <c r="F174" s="66"/>
      <c r="G174" s="66"/>
      <c r="H174" s="67"/>
      <c r="R174" s="12"/>
      <c r="AE174" s="11"/>
      <c r="AF174" s="52"/>
      <c r="AG174" s="52"/>
      <c r="AH174" s="52"/>
      <c r="AI174" s="52"/>
      <c r="AJ174" s="52"/>
      <c r="AK174" s="52"/>
      <c r="AL174" s="52"/>
      <c r="AM174" s="52"/>
      <c r="AN174" s="52"/>
      <c r="AO174" s="12"/>
    </row>
    <row r="175" spans="1:41" x14ac:dyDescent="0.25">
      <c r="A175" s="3"/>
      <c r="R175" s="12"/>
      <c r="AE175" s="11"/>
      <c r="AF175" s="52"/>
      <c r="AG175" s="52"/>
      <c r="AH175" s="52"/>
      <c r="AI175" s="52"/>
      <c r="AJ175" s="52"/>
      <c r="AK175" s="52"/>
      <c r="AL175" s="52"/>
      <c r="AM175" s="52"/>
      <c r="AN175" s="52"/>
      <c r="AO175" s="12"/>
    </row>
    <row r="176" spans="1:41" x14ac:dyDescent="0.25">
      <c r="A176" s="1" t="s">
        <v>55</v>
      </c>
      <c r="R176" s="12"/>
      <c r="AE176" s="11"/>
      <c r="AF176" s="52"/>
      <c r="AG176" s="52"/>
      <c r="AH176" s="52"/>
      <c r="AI176" s="52"/>
      <c r="AJ176" s="52"/>
      <c r="AK176" s="52"/>
      <c r="AL176" s="52"/>
      <c r="AM176" s="52"/>
      <c r="AN176" s="52"/>
      <c r="AO176" s="12"/>
    </row>
    <row r="177" spans="1:41" ht="16.5" thickBot="1" x14ac:dyDescent="0.3">
      <c r="A177" s="3"/>
      <c r="R177" s="12"/>
      <c r="AE177" s="12"/>
      <c r="AF177" s="12"/>
      <c r="AG177" s="12"/>
      <c r="AH177" s="12"/>
      <c r="AI177" s="12"/>
      <c r="AJ177" s="12"/>
      <c r="AK177" s="12"/>
      <c r="AL177" s="12"/>
      <c r="AM177" s="12"/>
      <c r="AN177" s="12"/>
    </row>
    <row r="178" spans="1:41" x14ac:dyDescent="0.25">
      <c r="A178" s="4"/>
      <c r="C178" s="68" t="s">
        <v>56</v>
      </c>
      <c r="D178" s="69" t="s">
        <v>641</v>
      </c>
      <c r="E178" s="70" t="s">
        <v>57</v>
      </c>
      <c r="F178" s="69" t="s">
        <v>640</v>
      </c>
      <c r="G178" s="71"/>
      <c r="H178" s="72"/>
      <c r="I178" s="12"/>
      <c r="J178" s="12"/>
      <c r="K178" s="12"/>
      <c r="L178" s="12"/>
      <c r="M178" s="12"/>
      <c r="N178" s="12"/>
      <c r="O178" s="12"/>
      <c r="P178" s="12"/>
      <c r="Q178" s="12"/>
    </row>
    <row r="179" spans="1:41" ht="18.75" x14ac:dyDescent="0.25">
      <c r="A179" s="4"/>
      <c r="C179" s="73">
        <v>60</v>
      </c>
      <c r="D179" s="6">
        <f>C179*$H$180</f>
        <v>660000000</v>
      </c>
      <c r="E179" s="74">
        <f t="shared" ref="E179:E197" si="62">LN(D179)</f>
        <v>20.307750392984744</v>
      </c>
      <c r="F179" s="75">
        <f t="shared" ref="F179:F197" si="63">D179*H$190*365/1000000</f>
        <v>240900</v>
      </c>
      <c r="G179" s="20" t="s">
        <v>632</v>
      </c>
      <c r="H179" s="76">
        <v>39.6</v>
      </c>
      <c r="I179" s="12"/>
      <c r="J179" s="12"/>
      <c r="K179" s="12"/>
      <c r="L179" s="12"/>
      <c r="M179" s="12"/>
      <c r="N179" s="12"/>
      <c r="O179" s="12"/>
      <c r="P179" s="12"/>
      <c r="Q179" s="12"/>
    </row>
    <row r="180" spans="1:41" x14ac:dyDescent="0.25">
      <c r="A180" s="4"/>
      <c r="C180" s="73">
        <v>50</v>
      </c>
      <c r="D180" s="6">
        <f t="shared" ref="D180:D197" si="64">C180*$H$180</f>
        <v>550000000</v>
      </c>
      <c r="E180" s="74">
        <f t="shared" si="62"/>
        <v>20.125428836190792</v>
      </c>
      <c r="F180" s="75">
        <f t="shared" si="63"/>
        <v>200750</v>
      </c>
      <c r="G180" s="20" t="s">
        <v>631</v>
      </c>
      <c r="H180" s="76">
        <f>H179/3.6*1000000</f>
        <v>11000000</v>
      </c>
      <c r="I180" s="12"/>
      <c r="J180" s="12"/>
      <c r="K180" s="12"/>
      <c r="L180" s="12"/>
      <c r="M180" s="12"/>
      <c r="N180" s="12"/>
      <c r="O180" s="12"/>
      <c r="P180" s="12"/>
      <c r="Q180" s="12"/>
    </row>
    <row r="181" spans="1:41" x14ac:dyDescent="0.25">
      <c r="A181" s="4"/>
      <c r="C181" s="73">
        <v>40</v>
      </c>
      <c r="D181" s="6">
        <f t="shared" si="64"/>
        <v>440000000</v>
      </c>
      <c r="E181" s="74">
        <f t="shared" si="62"/>
        <v>19.90228528487658</v>
      </c>
      <c r="F181" s="75">
        <f t="shared" si="63"/>
        <v>160600</v>
      </c>
      <c r="G181" s="12"/>
      <c r="H181" s="76"/>
      <c r="I181" s="12"/>
      <c r="J181" s="12"/>
      <c r="K181" s="12"/>
      <c r="L181" s="12"/>
      <c r="M181" s="12"/>
      <c r="N181" s="12"/>
      <c r="O181" s="12"/>
      <c r="P181" s="12"/>
      <c r="Q181" s="12"/>
    </row>
    <row r="182" spans="1:41" x14ac:dyDescent="0.25">
      <c r="A182" s="4"/>
      <c r="C182" s="73">
        <v>30</v>
      </c>
      <c r="D182" s="6">
        <f t="shared" si="64"/>
        <v>330000000</v>
      </c>
      <c r="E182" s="74">
        <f t="shared" si="62"/>
        <v>19.6146032124248</v>
      </c>
      <c r="F182" s="75">
        <f t="shared" si="63"/>
        <v>120450</v>
      </c>
      <c r="G182" s="12"/>
      <c r="H182" s="76"/>
      <c r="I182" s="12"/>
      <c r="J182" s="12"/>
      <c r="K182" s="12"/>
      <c r="L182" s="12"/>
      <c r="M182" s="12"/>
      <c r="N182" s="12"/>
      <c r="O182" s="12"/>
      <c r="P182" s="12"/>
      <c r="Q182" s="12"/>
    </row>
    <row r="183" spans="1:41" x14ac:dyDescent="0.25">
      <c r="A183" s="4"/>
      <c r="C183" s="73">
        <v>20</v>
      </c>
      <c r="D183" s="6">
        <f t="shared" si="64"/>
        <v>220000000</v>
      </c>
      <c r="E183" s="74">
        <f t="shared" si="62"/>
        <v>19.209138104316636</v>
      </c>
      <c r="F183" s="75">
        <f t="shared" si="63"/>
        <v>80300</v>
      </c>
      <c r="G183" s="12"/>
      <c r="H183" s="76"/>
      <c r="I183" s="12"/>
      <c r="J183" s="12"/>
      <c r="K183" s="12"/>
      <c r="L183" s="12"/>
      <c r="M183" s="12"/>
      <c r="N183" s="12"/>
      <c r="O183" s="12"/>
      <c r="P183" s="12"/>
      <c r="Q183" s="12"/>
    </row>
    <row r="184" spans="1:41" x14ac:dyDescent="0.25">
      <c r="A184" s="4"/>
      <c r="C184" s="77">
        <v>15</v>
      </c>
      <c r="D184" s="9">
        <f t="shared" si="64"/>
        <v>165000000</v>
      </c>
      <c r="E184" s="10">
        <f t="shared" si="62"/>
        <v>18.921456031864853</v>
      </c>
      <c r="F184" s="78">
        <f t="shared" si="63"/>
        <v>60225</v>
      </c>
      <c r="H184" s="63"/>
    </row>
    <row r="185" spans="1:41" x14ac:dyDescent="0.25">
      <c r="A185" s="4"/>
      <c r="C185" s="77">
        <v>12</v>
      </c>
      <c r="D185" s="9">
        <f t="shared" si="64"/>
        <v>132000000</v>
      </c>
      <c r="E185" s="10">
        <f t="shared" si="62"/>
        <v>18.698312480550644</v>
      </c>
      <c r="F185" s="78">
        <f t="shared" si="63"/>
        <v>48180</v>
      </c>
      <c r="H185" s="63"/>
      <c r="AE185" s="3"/>
    </row>
    <row r="186" spans="1:41" x14ac:dyDescent="0.25">
      <c r="A186" s="4"/>
      <c r="C186" s="77">
        <v>10</v>
      </c>
      <c r="D186" s="9">
        <f t="shared" si="64"/>
        <v>110000000</v>
      </c>
      <c r="E186" s="10">
        <f t="shared" si="62"/>
        <v>18.515990923756689</v>
      </c>
      <c r="F186" s="78">
        <f t="shared" si="63"/>
        <v>40150</v>
      </c>
      <c r="H186" s="63"/>
      <c r="J186" s="18"/>
    </row>
    <row r="187" spans="1:41" x14ac:dyDescent="0.25">
      <c r="A187" s="4"/>
      <c r="C187" s="77">
        <v>7</v>
      </c>
      <c r="D187" s="9">
        <f t="shared" si="64"/>
        <v>77000000</v>
      </c>
      <c r="E187" s="10">
        <f t="shared" si="62"/>
        <v>18.159315979817958</v>
      </c>
      <c r="F187" s="78">
        <f t="shared" si="63"/>
        <v>28105</v>
      </c>
      <c r="H187" s="63"/>
      <c r="J187" s="18"/>
    </row>
    <row r="188" spans="1:41" x14ac:dyDescent="0.25">
      <c r="A188" s="4"/>
      <c r="C188" s="77">
        <v>5</v>
      </c>
      <c r="D188" s="9">
        <f t="shared" si="64"/>
        <v>55000000</v>
      </c>
      <c r="E188" s="10">
        <f t="shared" si="62"/>
        <v>17.822843743196746</v>
      </c>
      <c r="F188" s="78">
        <f t="shared" si="63"/>
        <v>20075</v>
      </c>
      <c r="H188" s="63"/>
      <c r="J188" s="79"/>
    </row>
    <row r="189" spans="1:41" x14ac:dyDescent="0.25">
      <c r="A189" s="4"/>
      <c r="C189" s="77">
        <v>4</v>
      </c>
      <c r="D189" s="9">
        <f t="shared" si="64"/>
        <v>44000000</v>
      </c>
      <c r="E189" s="10">
        <f t="shared" si="62"/>
        <v>17.599700191882537</v>
      </c>
      <c r="F189" s="78">
        <f t="shared" si="63"/>
        <v>16060</v>
      </c>
      <c r="H189" s="63"/>
      <c r="J189" s="80"/>
      <c r="AE189" s="11"/>
      <c r="AF189" s="11"/>
      <c r="AG189" s="11"/>
      <c r="AH189" s="11"/>
      <c r="AI189" s="11"/>
      <c r="AJ189" s="11"/>
      <c r="AK189" s="11"/>
      <c r="AL189" s="11"/>
      <c r="AM189" s="11"/>
      <c r="AN189" s="11"/>
      <c r="AO189" s="12"/>
    </row>
    <row r="190" spans="1:41" x14ac:dyDescent="0.25">
      <c r="A190" s="4"/>
      <c r="C190" s="77">
        <v>3</v>
      </c>
      <c r="D190" s="9">
        <f t="shared" si="64"/>
        <v>33000000</v>
      </c>
      <c r="E190" s="10">
        <f t="shared" si="62"/>
        <v>17.312018119430753</v>
      </c>
      <c r="F190" s="78">
        <f t="shared" si="63"/>
        <v>12045</v>
      </c>
      <c r="G190" s="11" t="s">
        <v>58</v>
      </c>
      <c r="H190" s="81">
        <v>1</v>
      </c>
      <c r="AE190" s="3"/>
      <c r="AF190" s="11"/>
      <c r="AG190" s="11"/>
      <c r="AH190" s="11"/>
      <c r="AI190" s="11"/>
      <c r="AJ190" s="11"/>
      <c r="AK190" s="11"/>
      <c r="AL190" s="11"/>
      <c r="AM190" s="11"/>
      <c r="AN190" s="11"/>
      <c r="AO190" s="12"/>
    </row>
    <row r="191" spans="1:41" x14ac:dyDescent="0.25">
      <c r="A191" s="4"/>
      <c r="C191" s="77">
        <v>2</v>
      </c>
      <c r="D191" s="9">
        <f t="shared" si="64"/>
        <v>22000000</v>
      </c>
      <c r="E191" s="10">
        <f t="shared" si="62"/>
        <v>16.90655301132259</v>
      </c>
      <c r="F191" s="78">
        <f t="shared" si="63"/>
        <v>8030</v>
      </c>
      <c r="H191" s="63"/>
      <c r="AE191" s="11"/>
      <c r="AF191" s="52"/>
      <c r="AG191" s="52"/>
      <c r="AH191" s="52"/>
      <c r="AI191" s="52"/>
      <c r="AJ191" s="52"/>
      <c r="AK191" s="52"/>
      <c r="AL191" s="52"/>
      <c r="AM191" s="52"/>
      <c r="AN191" s="52"/>
      <c r="AO191" s="12"/>
    </row>
    <row r="192" spans="1:41" x14ac:dyDescent="0.25">
      <c r="A192" s="4"/>
      <c r="C192" s="77">
        <v>1</v>
      </c>
      <c r="D192" s="9">
        <f t="shared" si="64"/>
        <v>11000000</v>
      </c>
      <c r="E192" s="10">
        <f t="shared" si="62"/>
        <v>16.213405830762646</v>
      </c>
      <c r="F192" s="78">
        <f t="shared" si="63"/>
        <v>4015</v>
      </c>
      <c r="H192" s="63"/>
      <c r="AE192" s="11"/>
      <c r="AF192" s="52"/>
      <c r="AG192" s="52"/>
      <c r="AH192" s="52"/>
      <c r="AI192" s="52"/>
      <c r="AJ192" s="52"/>
      <c r="AK192" s="52"/>
      <c r="AL192" s="52"/>
      <c r="AM192" s="52"/>
      <c r="AN192" s="52"/>
      <c r="AO192" s="12"/>
    </row>
    <row r="193" spans="1:41" x14ac:dyDescent="0.25">
      <c r="A193" s="4"/>
      <c r="C193" s="77">
        <v>0.5</v>
      </c>
      <c r="D193" s="9">
        <f t="shared" si="64"/>
        <v>5500000</v>
      </c>
      <c r="E193" s="10">
        <f t="shared" si="62"/>
        <v>15.520258650202699</v>
      </c>
      <c r="F193" s="78">
        <f t="shared" si="63"/>
        <v>2007.5</v>
      </c>
      <c r="H193" s="63"/>
      <c r="AE193" s="11"/>
      <c r="AF193" s="52"/>
      <c r="AG193" s="52"/>
      <c r="AH193" s="52"/>
      <c r="AI193" s="52"/>
      <c r="AJ193" s="52"/>
      <c r="AK193" s="52"/>
      <c r="AL193" s="52"/>
      <c r="AM193" s="52"/>
      <c r="AN193" s="52"/>
      <c r="AO193" s="12"/>
    </row>
    <row r="194" spans="1:41" x14ac:dyDescent="0.25">
      <c r="A194" s="4"/>
      <c r="C194" s="77">
        <v>0.4</v>
      </c>
      <c r="D194" s="9">
        <f t="shared" si="64"/>
        <v>4400000</v>
      </c>
      <c r="E194" s="10">
        <f t="shared" si="62"/>
        <v>15.29711509888849</v>
      </c>
      <c r="F194" s="78">
        <f t="shared" si="63"/>
        <v>1606</v>
      </c>
      <c r="H194" s="63"/>
      <c r="AE194" s="11"/>
      <c r="AF194" s="52"/>
      <c r="AG194" s="52"/>
      <c r="AH194" s="52"/>
      <c r="AI194" s="52"/>
      <c r="AJ194" s="52"/>
      <c r="AK194" s="52"/>
      <c r="AL194" s="52"/>
      <c r="AM194" s="52"/>
      <c r="AN194" s="52"/>
      <c r="AO194" s="12"/>
    </row>
    <row r="195" spans="1:41" x14ac:dyDescent="0.25">
      <c r="A195" s="4"/>
      <c r="C195" s="77">
        <v>0.3</v>
      </c>
      <c r="D195" s="9">
        <f t="shared" si="64"/>
        <v>3300000</v>
      </c>
      <c r="E195" s="10">
        <f t="shared" si="62"/>
        <v>15.009433026436708</v>
      </c>
      <c r="F195" s="78">
        <f t="shared" si="63"/>
        <v>1204.5</v>
      </c>
      <c r="H195" s="63"/>
      <c r="AE195" s="11"/>
      <c r="AF195" s="52"/>
      <c r="AG195" s="52"/>
      <c r="AH195" s="52"/>
      <c r="AI195" s="52"/>
      <c r="AJ195" s="52"/>
      <c r="AK195" s="52"/>
      <c r="AL195" s="52"/>
      <c r="AM195" s="52"/>
      <c r="AN195" s="52"/>
      <c r="AO195" s="12"/>
    </row>
    <row r="196" spans="1:41" x14ac:dyDescent="0.25">
      <c r="A196" s="4"/>
      <c r="C196" s="77">
        <v>0.2</v>
      </c>
      <c r="D196" s="9">
        <f t="shared" si="64"/>
        <v>2200000</v>
      </c>
      <c r="E196" s="10">
        <f t="shared" si="62"/>
        <v>14.603967918328545</v>
      </c>
      <c r="F196" s="78">
        <f t="shared" si="63"/>
        <v>803</v>
      </c>
      <c r="H196" s="63"/>
      <c r="AE196" s="11"/>
      <c r="AF196" s="52"/>
      <c r="AG196" s="52"/>
      <c r="AH196" s="52"/>
      <c r="AI196" s="52"/>
      <c r="AJ196" s="52"/>
      <c r="AK196" s="52"/>
      <c r="AL196" s="52"/>
      <c r="AM196" s="52"/>
      <c r="AN196" s="52"/>
      <c r="AO196" s="12"/>
    </row>
    <row r="197" spans="1:41" ht="16.5" thickBot="1" x14ac:dyDescent="0.3">
      <c r="A197" s="4"/>
      <c r="C197" s="82">
        <v>0.1</v>
      </c>
      <c r="D197" s="83">
        <f t="shared" si="64"/>
        <v>1100000</v>
      </c>
      <c r="E197" s="84">
        <f t="shared" si="62"/>
        <v>13.910820737768599</v>
      </c>
      <c r="F197" s="85">
        <f t="shared" si="63"/>
        <v>401.5</v>
      </c>
      <c r="G197" s="86"/>
      <c r="H197" s="87"/>
      <c r="AE197" s="11"/>
      <c r="AF197" s="52"/>
      <c r="AG197" s="52"/>
      <c r="AH197" s="52"/>
      <c r="AI197" s="52"/>
      <c r="AJ197" s="52"/>
      <c r="AK197" s="52"/>
      <c r="AL197" s="52"/>
      <c r="AM197" s="52"/>
      <c r="AN197" s="52"/>
      <c r="AO197" s="12"/>
    </row>
    <row r="198" spans="1:41" x14ac:dyDescent="0.25">
      <c r="A198" s="4"/>
      <c r="B198" s="3"/>
      <c r="C198" s="9"/>
      <c r="D198" s="10"/>
      <c r="E198" s="78"/>
      <c r="F198" s="78"/>
      <c r="AE198" s="11"/>
      <c r="AF198" s="52"/>
      <c r="AG198" s="52"/>
      <c r="AH198" s="52"/>
      <c r="AI198" s="52"/>
      <c r="AJ198" s="52"/>
      <c r="AK198" s="52"/>
      <c r="AL198" s="52"/>
      <c r="AM198" s="52"/>
      <c r="AN198" s="52"/>
      <c r="AO198" s="12"/>
    </row>
    <row r="199" spans="1:41" x14ac:dyDescent="0.25">
      <c r="A199" s="4"/>
      <c r="B199" s="3"/>
      <c r="C199" s="9"/>
      <c r="D199" s="10"/>
      <c r="E199" s="78"/>
      <c r="F199" s="78"/>
      <c r="AE199" s="11"/>
      <c r="AF199" s="52"/>
      <c r="AG199" s="52"/>
      <c r="AH199" s="52"/>
      <c r="AI199" s="52"/>
      <c r="AJ199" s="52"/>
      <c r="AK199" s="52"/>
      <c r="AL199" s="52"/>
      <c r="AM199" s="52"/>
      <c r="AN199" s="52"/>
      <c r="AO199" s="12"/>
    </row>
    <row r="200" spans="1:41" x14ac:dyDescent="0.25">
      <c r="A200" s="1" t="s">
        <v>59</v>
      </c>
      <c r="B200" s="9"/>
      <c r="C200" s="78"/>
      <c r="D200" s="78"/>
      <c r="AE200" s="11"/>
      <c r="AF200" s="52"/>
      <c r="AG200" s="52"/>
      <c r="AH200" s="52"/>
      <c r="AI200" s="52"/>
      <c r="AJ200" s="52"/>
      <c r="AK200" s="52"/>
      <c r="AL200" s="52"/>
      <c r="AM200" s="52"/>
      <c r="AN200" s="52"/>
      <c r="AO200" s="12"/>
    </row>
    <row r="201" spans="1:41" x14ac:dyDescent="0.25">
      <c r="B201" s="36"/>
      <c r="C201" s="36"/>
      <c r="D201" s="3" t="s">
        <v>60</v>
      </c>
      <c r="E201" s="36"/>
      <c r="F201" s="36"/>
      <c r="G201" s="36"/>
      <c r="H201" s="36"/>
      <c r="I201" s="36"/>
      <c r="J201" s="36"/>
      <c r="K201" s="36"/>
      <c r="L201" s="36"/>
      <c r="M201" s="36"/>
      <c r="N201" s="36"/>
      <c r="O201" s="36"/>
      <c r="P201" s="3"/>
      <c r="Q201" s="36"/>
      <c r="R201" s="11"/>
      <c r="AE201" s="11"/>
      <c r="AF201" s="52"/>
      <c r="AG201" s="52"/>
      <c r="AH201" s="52"/>
      <c r="AI201" s="52"/>
      <c r="AJ201" s="52"/>
      <c r="AK201" s="52"/>
      <c r="AL201" s="52"/>
      <c r="AM201" s="52"/>
      <c r="AN201" s="52"/>
      <c r="AO201" s="12"/>
    </row>
    <row r="202" spans="1:41" x14ac:dyDescent="0.25">
      <c r="A202" s="3" t="s">
        <v>31</v>
      </c>
      <c r="B202" s="3" t="s">
        <v>61</v>
      </c>
      <c r="C202" s="3" t="s">
        <v>3</v>
      </c>
      <c r="D202" s="3" t="s">
        <v>4</v>
      </c>
      <c r="E202" s="3" t="s">
        <v>5</v>
      </c>
      <c r="F202" s="3" t="s">
        <v>6</v>
      </c>
      <c r="G202" s="3" t="s">
        <v>7</v>
      </c>
      <c r="H202" s="3" t="s">
        <v>8</v>
      </c>
      <c r="I202" s="3" t="s">
        <v>9</v>
      </c>
      <c r="J202" s="3" t="s">
        <v>62</v>
      </c>
      <c r="K202" s="3"/>
      <c r="L202" s="3"/>
      <c r="M202" s="3"/>
      <c r="N202" s="3"/>
      <c r="O202" s="3"/>
      <c r="P202" s="3"/>
      <c r="Q202" s="3"/>
      <c r="R202" s="11"/>
      <c r="AE202" s="11"/>
      <c r="AF202" s="52"/>
      <c r="AG202" s="52"/>
      <c r="AH202" s="52"/>
      <c r="AI202" s="52"/>
      <c r="AJ202" s="52"/>
      <c r="AK202" s="52"/>
      <c r="AL202" s="52"/>
      <c r="AM202" s="52"/>
      <c r="AN202" s="52"/>
      <c r="AO202" s="12"/>
    </row>
    <row r="203" spans="1:41" x14ac:dyDescent="0.25">
      <c r="A203" s="5" t="s">
        <v>32</v>
      </c>
      <c r="B203" s="88">
        <f t="shared" ref="B203:J218" si="65">B147/$F179/1000000*100</f>
        <v>3.809903393242125E-4</v>
      </c>
      <c r="C203" s="88">
        <f t="shared" si="65"/>
        <v>7.2109042813682251E-4</v>
      </c>
      <c r="D203" s="88">
        <f t="shared" si="65"/>
        <v>1.9577159954151388E-3</v>
      </c>
      <c r="E203" s="88">
        <f t="shared" si="65"/>
        <v>2.7335040074184191E-3</v>
      </c>
      <c r="F203" s="88">
        <f t="shared" si="65"/>
        <v>3.5092920194216989E-3</v>
      </c>
      <c r="G203" s="88">
        <f t="shared" si="65"/>
        <v>4.2931796500779778E-3</v>
      </c>
      <c r="H203" s="88">
        <f t="shared" si="65"/>
        <v>5.0689676620812585E-3</v>
      </c>
      <c r="I203" s="88">
        <f t="shared" si="65"/>
        <v>6.6205436860878198E-3</v>
      </c>
      <c r="J203" s="88">
        <f>J147/$F179/1000000*100</f>
        <v>8.180219328747379E-3</v>
      </c>
      <c r="K203" s="89"/>
      <c r="L203" s="89"/>
      <c r="M203" s="89"/>
      <c r="N203" s="3"/>
      <c r="O203" s="3"/>
      <c r="P203" s="3"/>
      <c r="Q203" s="3"/>
      <c r="R203" s="11"/>
      <c r="AE203" s="11"/>
      <c r="AF203" s="52"/>
      <c r="AG203" s="52"/>
      <c r="AH203" s="52"/>
      <c r="AI203" s="52"/>
      <c r="AJ203" s="52"/>
      <c r="AK203" s="52"/>
      <c r="AL203" s="52"/>
      <c r="AM203" s="52"/>
      <c r="AN203" s="52"/>
      <c r="AO203" s="12"/>
    </row>
    <row r="204" spans="1:41" x14ac:dyDescent="0.25">
      <c r="A204" s="5" t="s">
        <v>33</v>
      </c>
      <c r="B204" s="88">
        <f t="shared" si="65"/>
        <v>4.5718840718905496E-4</v>
      </c>
      <c r="C204" s="88">
        <f t="shared" si="65"/>
        <v>8.6530851376418708E-4</v>
      </c>
      <c r="D204" s="88">
        <f t="shared" si="65"/>
        <v>1.6853519851590308E-3</v>
      </c>
      <c r="E204" s="88">
        <f t="shared" si="65"/>
        <v>3.280204808902103E-3</v>
      </c>
      <c r="F204" s="88">
        <f t="shared" si="65"/>
        <v>4.211150423306039E-3</v>
      </c>
      <c r="G204" s="88">
        <f t="shared" si="65"/>
        <v>5.1518155800935736E-3</v>
      </c>
      <c r="H204" s="88">
        <f t="shared" si="65"/>
        <v>6.0827611944975109E-3</v>
      </c>
      <c r="I204" s="88">
        <f t="shared" si="65"/>
        <v>7.944652423305382E-3</v>
      </c>
      <c r="J204" s="88">
        <f t="shared" si="65"/>
        <v>9.8162631944968531E-3</v>
      </c>
      <c r="K204" s="89"/>
      <c r="L204" s="89"/>
      <c r="M204" s="89"/>
      <c r="N204" s="3"/>
      <c r="O204" s="3"/>
      <c r="P204" s="3"/>
      <c r="Q204" s="3"/>
      <c r="R204" s="11"/>
      <c r="AE204" s="11"/>
      <c r="AF204" s="52"/>
      <c r="AG204" s="52"/>
      <c r="AH204" s="52"/>
      <c r="AI204" s="52"/>
      <c r="AJ204" s="52"/>
      <c r="AK204" s="52"/>
      <c r="AL204" s="52"/>
      <c r="AM204" s="52"/>
      <c r="AN204" s="52"/>
      <c r="AO204" s="12"/>
    </row>
    <row r="205" spans="1:41" x14ac:dyDescent="0.25">
      <c r="A205" s="5" t="s">
        <v>34</v>
      </c>
      <c r="B205" s="88">
        <f t="shared" si="65"/>
        <v>5.7148550898631874E-4</v>
      </c>
      <c r="C205" s="88">
        <f t="shared" si="65"/>
        <v>1.021989547122941E-3</v>
      </c>
      <c r="D205" s="88">
        <f t="shared" si="65"/>
        <v>1.5540613272976016E-3</v>
      </c>
      <c r="E205" s="88">
        <f t="shared" si="65"/>
        <v>2.8554299936167501E-3</v>
      </c>
      <c r="F205" s="88">
        <f t="shared" si="65"/>
        <v>5.2639380291325481E-3</v>
      </c>
      <c r="G205" s="88">
        <f t="shared" si="65"/>
        <v>6.439769475116968E-3</v>
      </c>
      <c r="H205" s="88">
        <f t="shared" si="65"/>
        <v>7.6034514931218877E-3</v>
      </c>
      <c r="I205" s="88">
        <f t="shared" si="65"/>
        <v>9.9308155291317271E-3</v>
      </c>
      <c r="J205" s="88">
        <f t="shared" si="65"/>
        <v>1.2270328993121069E-2</v>
      </c>
      <c r="K205" s="89"/>
      <c r="L205" s="89"/>
      <c r="M205" s="89"/>
      <c r="N205" s="3"/>
      <c r="O205" s="3"/>
      <c r="P205" s="3"/>
      <c r="Q205" s="3"/>
      <c r="R205" s="11"/>
      <c r="AE205" s="11"/>
      <c r="AF205" s="52"/>
      <c r="AG205" s="52"/>
      <c r="AH205" s="52"/>
      <c r="AI205" s="52"/>
      <c r="AJ205" s="52"/>
      <c r="AK205" s="52"/>
      <c r="AL205" s="52"/>
      <c r="AM205" s="52"/>
      <c r="AN205" s="52"/>
      <c r="AO205" s="12"/>
    </row>
    <row r="206" spans="1:41" x14ac:dyDescent="0.25">
      <c r="A206" s="5" t="s">
        <v>35</v>
      </c>
      <c r="B206" s="88">
        <f t="shared" si="65"/>
        <v>7.6198067864842499E-4</v>
      </c>
      <c r="C206" s="88">
        <f t="shared" si="65"/>
        <v>1.3626527294972545E-3</v>
      </c>
      <c r="D206" s="88">
        <f t="shared" si="65"/>
        <v>1.9130255161773544E-3</v>
      </c>
      <c r="E206" s="88">
        <f t="shared" si="65"/>
        <v>2.7019826831866261E-3</v>
      </c>
      <c r="F206" s="88">
        <f t="shared" si="65"/>
        <v>3.331883596643115E-3</v>
      </c>
      <c r="G206" s="88">
        <f t="shared" si="65"/>
        <v>5.8200792612428951E-3</v>
      </c>
      <c r="H206" s="88">
        <f t="shared" si="65"/>
        <v>1.0137935324162517E-2</v>
      </c>
      <c r="I206" s="88">
        <f t="shared" si="65"/>
        <v>1.324108737217564E-2</v>
      </c>
      <c r="J206" s="88">
        <f t="shared" si="65"/>
        <v>1.6360438657494758E-2</v>
      </c>
      <c r="K206" s="89"/>
      <c r="L206" s="89"/>
      <c r="M206" s="89"/>
      <c r="N206" s="3"/>
      <c r="O206" s="3"/>
      <c r="P206" s="3"/>
      <c r="Q206" s="3"/>
      <c r="R206" s="11"/>
      <c r="AE206" s="11"/>
      <c r="AF206" s="52"/>
      <c r="AG206" s="52"/>
      <c r="AH206" s="52"/>
      <c r="AI206" s="52"/>
      <c r="AJ206" s="52"/>
      <c r="AK206" s="52"/>
      <c r="AL206" s="52"/>
      <c r="AM206" s="52"/>
      <c r="AN206" s="52"/>
      <c r="AO206" s="12"/>
    </row>
    <row r="207" spans="1:41" x14ac:dyDescent="0.25">
      <c r="A207" s="5" t="s">
        <v>36</v>
      </c>
      <c r="B207" s="88">
        <f t="shared" si="65"/>
        <v>1.1429710179726375E-3</v>
      </c>
      <c r="C207" s="88">
        <f t="shared" si="65"/>
        <v>2.043979094245882E-3</v>
      </c>
      <c r="D207" s="88">
        <f t="shared" si="65"/>
        <v>2.8695382742660318E-3</v>
      </c>
      <c r="E207" s="88">
        <f t="shared" si="65"/>
        <v>3.6950974542861812E-3</v>
      </c>
      <c r="F207" s="88">
        <f t="shared" si="65"/>
        <v>4.997825394964673E-3</v>
      </c>
      <c r="G207" s="88">
        <f t="shared" si="65"/>
        <v>5.9669756211084045E-3</v>
      </c>
      <c r="H207" s="88">
        <f t="shared" si="65"/>
        <v>6.9118269912931416E-3</v>
      </c>
      <c r="I207" s="88">
        <f t="shared" si="65"/>
        <v>8.8015297316626113E-3</v>
      </c>
      <c r="J207" s="88">
        <f t="shared" si="65"/>
        <v>1.0715531327991081E-2</v>
      </c>
      <c r="K207" s="89"/>
      <c r="L207" s="89"/>
      <c r="M207" s="89"/>
      <c r="N207" s="3"/>
      <c r="O207" s="3"/>
      <c r="P207" s="3"/>
      <c r="Q207" s="3"/>
      <c r="R207" s="11"/>
      <c r="AE207" s="11"/>
      <c r="AF207" s="52"/>
      <c r="AG207" s="52"/>
      <c r="AH207" s="52"/>
      <c r="AI207" s="52"/>
      <c r="AJ207" s="52"/>
      <c r="AK207" s="52"/>
      <c r="AL207" s="52"/>
      <c r="AM207" s="52"/>
      <c r="AN207" s="52"/>
      <c r="AO207" s="12"/>
    </row>
    <row r="208" spans="1:41" x14ac:dyDescent="0.25">
      <c r="A208" s="3" t="s">
        <v>37</v>
      </c>
      <c r="B208" s="89">
        <f t="shared" si="65"/>
        <v>1.52396135729685E-3</v>
      </c>
      <c r="C208" s="89">
        <f t="shared" si="65"/>
        <v>2.725305458994509E-3</v>
      </c>
      <c r="D208" s="89">
        <f t="shared" si="65"/>
        <v>3.8260510323547088E-3</v>
      </c>
      <c r="E208" s="89">
        <f t="shared" si="65"/>
        <v>4.9267966057149086E-3</v>
      </c>
      <c r="F208" s="89">
        <f t="shared" si="65"/>
        <v>6.0275421790751075E-3</v>
      </c>
      <c r="G208" s="89">
        <f t="shared" si="65"/>
        <v>7.9559674948112072E-3</v>
      </c>
      <c r="H208" s="89">
        <f t="shared" si="65"/>
        <v>9.2157693217241893E-3</v>
      </c>
      <c r="I208" s="89">
        <f t="shared" si="65"/>
        <v>1.1735372975550147E-2</v>
      </c>
      <c r="J208" s="89">
        <f t="shared" si="65"/>
        <v>1.4287375103988108E-2</v>
      </c>
      <c r="K208" s="89"/>
      <c r="L208" s="89"/>
      <c r="M208" s="89"/>
      <c r="N208" s="89"/>
      <c r="O208" s="89"/>
      <c r="AE208" s="11"/>
      <c r="AF208" s="52"/>
      <c r="AG208" s="52"/>
      <c r="AH208" s="52"/>
      <c r="AI208" s="52"/>
      <c r="AJ208" s="52"/>
      <c r="AK208" s="52"/>
      <c r="AL208" s="52"/>
      <c r="AM208" s="52"/>
      <c r="AN208" s="52"/>
      <c r="AO208" s="12"/>
    </row>
    <row r="209" spans="1:41" x14ac:dyDescent="0.25">
      <c r="A209" s="3" t="s">
        <v>38</v>
      </c>
      <c r="B209" s="89">
        <f t="shared" si="65"/>
        <v>1.7236968610672106E-3</v>
      </c>
      <c r="C209" s="89">
        <f t="shared" si="65"/>
        <v>2.8336335670979531E-3</v>
      </c>
      <c r="D209" s="89">
        <f t="shared" si="65"/>
        <v>4.6013089548895339E-3</v>
      </c>
      <c r="E209" s="89">
        <f t="shared" si="65"/>
        <v>5.9772409215897836E-3</v>
      </c>
      <c r="F209" s="89">
        <f t="shared" si="65"/>
        <v>7.3531728882900308E-3</v>
      </c>
      <c r="G209" s="89">
        <f t="shared" si="65"/>
        <v>8.7696029482552743E-3</v>
      </c>
      <c r="H209" s="89">
        <f t="shared" si="65"/>
        <v>1.0145534914955524E-2</v>
      </c>
      <c r="I209" s="89">
        <f t="shared" si="65"/>
        <v>1.4487961383883833E-2</v>
      </c>
      <c r="J209" s="89">
        <f t="shared" si="65"/>
        <v>1.7677964044431276E-2</v>
      </c>
      <c r="K209" s="89"/>
      <c r="L209" s="89"/>
      <c r="M209" s="89"/>
      <c r="N209" s="89"/>
      <c r="O209" s="89"/>
      <c r="AE209" s="11"/>
      <c r="AF209" s="52"/>
      <c r="AG209" s="52"/>
      <c r="AH209" s="52"/>
      <c r="AI209" s="52"/>
      <c r="AJ209" s="52"/>
      <c r="AK209" s="52"/>
      <c r="AL209" s="52"/>
      <c r="AM209" s="52"/>
      <c r="AN209" s="52"/>
      <c r="AO209" s="12"/>
    </row>
    <row r="210" spans="1:41" x14ac:dyDescent="0.25">
      <c r="A210" s="3" t="s">
        <v>39</v>
      </c>
      <c r="B210" s="89">
        <f t="shared" si="65"/>
        <v>1.9583067129441342E-3</v>
      </c>
      <c r="C210" s="89">
        <f t="shared" si="65"/>
        <v>3.2902307601810274E-3</v>
      </c>
      <c r="D210" s="89">
        <f t="shared" si="65"/>
        <v>4.4712570149117292E-3</v>
      </c>
      <c r="E210" s="89">
        <f t="shared" si="65"/>
        <v>7.062559585571223E-3</v>
      </c>
      <c r="F210" s="89">
        <f t="shared" si="65"/>
        <v>8.7136779456115226E-3</v>
      </c>
      <c r="G210" s="89">
        <f t="shared" si="65"/>
        <v>1.0413394017569813E-2</v>
      </c>
      <c r="H210" s="89">
        <f t="shared" si="65"/>
        <v>1.2064512377610109E-2</v>
      </c>
      <c r="I210" s="89">
        <f t="shared" si="65"/>
        <v>1.536674909769071E-2</v>
      </c>
      <c r="J210" s="89">
        <f t="shared" si="65"/>
        <v>2.1103427332981019E-2</v>
      </c>
      <c r="K210" s="89"/>
      <c r="L210" s="89"/>
      <c r="M210" s="89"/>
      <c r="N210" s="89"/>
      <c r="O210" s="89"/>
      <c r="AE210" s="11"/>
      <c r="AF210" s="52"/>
      <c r="AG210" s="52"/>
      <c r="AH210" s="52"/>
      <c r="AI210" s="52"/>
      <c r="AJ210" s="52"/>
      <c r="AK210" s="52"/>
      <c r="AL210" s="52"/>
      <c r="AM210" s="52"/>
      <c r="AN210" s="52"/>
      <c r="AO210" s="12"/>
    </row>
    <row r="211" spans="1:41" x14ac:dyDescent="0.25">
      <c r="A211" s="3" t="s">
        <v>40</v>
      </c>
      <c r="B211" s="89">
        <f t="shared" si="65"/>
        <v>2.561589189199083E-3</v>
      </c>
      <c r="C211" s="89">
        <f t="shared" si="65"/>
        <v>4.4643378281089292E-3</v>
      </c>
      <c r="D211" s="89">
        <f t="shared" si="65"/>
        <v>6.1515181920099313E-3</v>
      </c>
      <c r="E211" s="89">
        <f t="shared" si="65"/>
        <v>7.8386985559109352E-3</v>
      </c>
      <c r="F211" s="89">
        <f t="shared" si="65"/>
        <v>9.5258789198119399E-3</v>
      </c>
      <c r="G211" s="89">
        <f t="shared" si="65"/>
        <v>1.4640285338664337E-2</v>
      </c>
      <c r="H211" s="89">
        <f t="shared" si="65"/>
        <v>1.6999025853007624E-2</v>
      </c>
      <c r="I211" s="89">
        <f t="shared" si="65"/>
        <v>2.1716506881694193E-2</v>
      </c>
      <c r="J211" s="89">
        <f t="shared" si="65"/>
        <v>2.6503413213120743E-2</v>
      </c>
      <c r="K211" s="89"/>
      <c r="L211" s="89"/>
      <c r="M211" s="89"/>
      <c r="N211" s="89"/>
      <c r="O211" s="89"/>
      <c r="AE211" s="12"/>
      <c r="AF211" s="12"/>
      <c r="AG211" s="12"/>
      <c r="AH211" s="12"/>
      <c r="AI211" s="12"/>
      <c r="AJ211" s="12"/>
      <c r="AK211" s="12"/>
      <c r="AL211" s="12"/>
      <c r="AM211" s="12"/>
      <c r="AN211" s="12"/>
    </row>
    <row r="212" spans="1:41" x14ac:dyDescent="0.25">
      <c r="A212" s="3" t="s">
        <v>41</v>
      </c>
      <c r="B212" s="89">
        <f t="shared" si="65"/>
        <v>3.241315624864567E-3</v>
      </c>
      <c r="C212" s="89">
        <f t="shared" si="65"/>
        <v>5.9051637193383525E-3</v>
      </c>
      <c r="D212" s="89">
        <f t="shared" si="65"/>
        <v>8.2672162287997578E-3</v>
      </c>
      <c r="E212" s="89">
        <f t="shared" si="65"/>
        <v>1.0629268738261161E-2</v>
      </c>
      <c r="F212" s="89">
        <f t="shared" si="65"/>
        <v>1.2991321247722568E-2</v>
      </c>
      <c r="G212" s="89">
        <f t="shared" si="65"/>
        <v>1.5450569181019959E-2</v>
      </c>
      <c r="H212" s="89">
        <f t="shared" si="65"/>
        <v>1.781262169048136E-2</v>
      </c>
      <c r="I212" s="89">
        <f t="shared" si="65"/>
        <v>3.0058200394357727E-2</v>
      </c>
      <c r="J212" s="89">
        <f t="shared" si="65"/>
        <v>3.6759869258354901E-2</v>
      </c>
      <c r="K212" s="89"/>
      <c r="L212" s="89"/>
      <c r="M212" s="89"/>
      <c r="N212" s="89"/>
      <c r="O212" s="89"/>
    </row>
    <row r="213" spans="1:41" x14ac:dyDescent="0.25">
      <c r="A213" s="3" t="s">
        <v>42</v>
      </c>
      <c r="B213" s="89">
        <f t="shared" si="65"/>
        <v>3.56294478458741E-3</v>
      </c>
      <c r="C213" s="89">
        <f t="shared" si="65"/>
        <v>6.526285250690979E-3</v>
      </c>
      <c r="D213" s="89">
        <f t="shared" si="65"/>
        <v>9.8453205395063973E-3</v>
      </c>
      <c r="E213" s="89">
        <f t="shared" si="65"/>
        <v>1.2797886176333154E-2</v>
      </c>
      <c r="F213" s="89">
        <f t="shared" si="65"/>
        <v>1.5750451813159903E-2</v>
      </c>
      <c r="G213" s="89">
        <f t="shared" si="65"/>
        <v>1.8824511729781654E-2</v>
      </c>
      <c r="H213" s="89">
        <f t="shared" si="65"/>
        <v>2.1777077366608406E-2</v>
      </c>
      <c r="I213" s="89">
        <f t="shared" si="65"/>
        <v>2.7682208640261923E-2</v>
      </c>
      <c r="J213" s="89">
        <f t="shared" si="65"/>
        <v>4.5461136826450324E-2</v>
      </c>
      <c r="K213" s="89"/>
      <c r="L213" s="89"/>
      <c r="M213" s="89"/>
      <c r="N213" s="89"/>
      <c r="O213" s="89"/>
    </row>
    <row r="214" spans="1:41" x14ac:dyDescent="0.25">
      <c r="A214" s="3" t="s">
        <v>43</v>
      </c>
      <c r="B214" s="89">
        <f t="shared" si="65"/>
        <v>4.1357032242376563E-3</v>
      </c>
      <c r="C214" s="89">
        <f t="shared" si="65"/>
        <v>8.0868238457090791E-3</v>
      </c>
      <c r="D214" s="89">
        <f t="shared" si="65"/>
        <v>1.1534951825493201E-2</v>
      </c>
      <c r="E214" s="89">
        <f t="shared" si="65"/>
        <v>1.4983079805277327E-2</v>
      </c>
      <c r="F214" s="89">
        <f t="shared" si="65"/>
        <v>2.0385712595667654E-2</v>
      </c>
      <c r="G214" s="89">
        <f t="shared" si="65"/>
        <v>2.4484459151163304E-2</v>
      </c>
      <c r="H214" s="89">
        <f t="shared" si="65"/>
        <v>2.8421213333598986E-2</v>
      </c>
      <c r="I214" s="89">
        <f t="shared" si="65"/>
        <v>3.6294721698470332E-2</v>
      </c>
      <c r="J214" s="89">
        <f t="shared" si="65"/>
        <v>4.4330222436401667E-2</v>
      </c>
      <c r="K214" s="89"/>
      <c r="L214" s="89"/>
      <c r="M214" s="89"/>
      <c r="N214" s="89"/>
      <c r="O214" s="89"/>
      <c r="AE214" s="3"/>
    </row>
    <row r="215" spans="1:41" x14ac:dyDescent="0.25">
      <c r="A215" s="3" t="s">
        <v>44</v>
      </c>
      <c r="B215" s="89">
        <f t="shared" si="65"/>
        <v>6.1071915060620331E-3</v>
      </c>
      <c r="C215" s="89">
        <f t="shared" si="65"/>
        <v>1.173058720903717E-2</v>
      </c>
      <c r="D215" s="89">
        <f t="shared" si="65"/>
        <v>1.6599493949481351E-2</v>
      </c>
      <c r="E215" s="89">
        <f t="shared" si="65"/>
        <v>2.2378256377621537E-2</v>
      </c>
      <c r="F215" s="89">
        <f t="shared" si="65"/>
        <v>2.755044834729772E-2</v>
      </c>
      <c r="G215" s="89">
        <f t="shared" si="65"/>
        <v>3.2965628876563867E-2</v>
      </c>
      <c r="H215" s="89">
        <f t="shared" si="65"/>
        <v>3.8137820846240067E-2</v>
      </c>
      <c r="I215" s="89">
        <f t="shared" si="65"/>
        <v>4.8482204785592425E-2</v>
      </c>
      <c r="J215" s="89">
        <f t="shared" si="65"/>
        <v>6.6398970324308054E-2</v>
      </c>
      <c r="K215" s="89"/>
      <c r="L215" s="89"/>
      <c r="M215" s="89"/>
      <c r="N215" s="89"/>
      <c r="O215" s="89"/>
    </row>
    <row r="216" spans="1:41" x14ac:dyDescent="0.25">
      <c r="A216" s="3" t="s">
        <v>45</v>
      </c>
      <c r="B216" s="89">
        <f t="shared" si="65"/>
        <v>1.0011792605393708E-2</v>
      </c>
      <c r="C216" s="89">
        <f t="shared" si="65"/>
        <v>1.9742157865183994E-2</v>
      </c>
      <c r="D216" s="89">
        <f t="shared" si="65"/>
        <v>3.0996397492232361E-2</v>
      </c>
      <c r="E216" s="89">
        <f t="shared" si="65"/>
        <v>4.0734210973120723E-2</v>
      </c>
      <c r="F216" s="89">
        <f t="shared" si="65"/>
        <v>5.0472024454009091E-2</v>
      </c>
      <c r="G216" s="89">
        <f t="shared" si="65"/>
        <v>6.0695815054077396E-2</v>
      </c>
      <c r="H216" s="89">
        <f t="shared" si="65"/>
        <v>7.0433628534965778E-2</v>
      </c>
      <c r="I216" s="89">
        <f t="shared" si="65"/>
        <v>8.9909255496742529E-2</v>
      </c>
      <c r="J216" s="89">
        <f t="shared" si="65"/>
        <v>0.11593656416233919</v>
      </c>
      <c r="K216" s="89"/>
      <c r="L216" s="89"/>
      <c r="M216" s="89"/>
      <c r="N216" s="89"/>
      <c r="O216" s="89"/>
    </row>
    <row r="217" spans="1:41" x14ac:dyDescent="0.25">
      <c r="A217" s="3" t="s">
        <v>46</v>
      </c>
      <c r="B217" s="89">
        <f t="shared" si="65"/>
        <v>1.2059182476848696E-2</v>
      </c>
      <c r="C217" s="89">
        <f t="shared" si="65"/>
        <v>3.1519912996429277E-2</v>
      </c>
      <c r="D217" s="89">
        <f t="shared" si="65"/>
        <v>5.4028392250525983E-2</v>
      </c>
      <c r="E217" s="89">
        <f t="shared" si="65"/>
        <v>7.3504019212302735E-2</v>
      </c>
      <c r="F217" s="89">
        <f t="shared" si="65"/>
        <v>9.2979646174079472E-2</v>
      </c>
      <c r="G217" s="89">
        <f t="shared" si="65"/>
        <v>0.11342722737421608</v>
      </c>
      <c r="H217" s="89">
        <f t="shared" si="65"/>
        <v>0.13290285433599286</v>
      </c>
      <c r="I217" s="89">
        <f t="shared" si="65"/>
        <v>0.17185410825954631</v>
      </c>
      <c r="J217" s="89">
        <f t="shared" si="65"/>
        <v>0.22390872559073957</v>
      </c>
      <c r="K217" s="89"/>
      <c r="L217" s="89"/>
      <c r="M217" s="89"/>
      <c r="N217" s="89"/>
      <c r="O217" s="89"/>
    </row>
    <row r="218" spans="1:41" x14ac:dyDescent="0.25">
      <c r="A218" s="3" t="s">
        <v>47</v>
      </c>
      <c r="B218" s="89">
        <f t="shared" si="65"/>
        <v>1.5073978096060871E-2</v>
      </c>
      <c r="C218" s="89">
        <f t="shared" si="65"/>
        <v>3.939989124553659E-2</v>
      </c>
      <c r="D218" s="89">
        <f t="shared" si="65"/>
        <v>5.9953359582357556E-2</v>
      </c>
      <c r="E218" s="89">
        <f t="shared" si="65"/>
        <v>8.0506827919178514E-2</v>
      </c>
      <c r="F218" s="89">
        <f t="shared" si="65"/>
        <v>0.11622455771759933</v>
      </c>
      <c r="G218" s="89">
        <f t="shared" si="65"/>
        <v>0.14178403421777011</v>
      </c>
      <c r="H218" s="89">
        <f t="shared" si="65"/>
        <v>0.16612856791999106</v>
      </c>
      <c r="I218" s="89">
        <f t="shared" si="65"/>
        <v>0.21481763532443288</v>
      </c>
      <c r="J218" s="89">
        <f t="shared" si="65"/>
        <v>0.26472164552682464</v>
      </c>
      <c r="K218" s="89"/>
      <c r="L218" s="89"/>
      <c r="M218" s="89"/>
      <c r="N218" s="89"/>
      <c r="O218" s="89"/>
      <c r="AE218" s="11"/>
      <c r="AF218" s="11"/>
      <c r="AG218" s="11"/>
      <c r="AH218" s="11"/>
      <c r="AI218" s="11"/>
      <c r="AJ218" s="11"/>
      <c r="AK218" s="11"/>
      <c r="AL218" s="11"/>
      <c r="AM218" s="11"/>
      <c r="AN218" s="11"/>
      <c r="AO218" s="12"/>
    </row>
    <row r="219" spans="1:41" x14ac:dyDescent="0.25">
      <c r="A219" s="3" t="s">
        <v>48</v>
      </c>
      <c r="B219" s="89">
        <f t="shared" ref="B219:J221" si="66">B163/$F195/1000000*100</f>
        <v>1.679475185131896E-2</v>
      </c>
      <c r="C219" s="89">
        <f t="shared" si="66"/>
        <v>4.922930271728658E-2</v>
      </c>
      <c r="D219" s="89">
        <f t="shared" si="66"/>
        <v>7.6633927166381205E-2</v>
      </c>
      <c r="E219" s="89">
        <f t="shared" si="66"/>
        <v>0.10403855161547583</v>
      </c>
      <c r="F219" s="89">
        <f t="shared" si="66"/>
        <v>0.13144317606457045</v>
      </c>
      <c r="G219" s="89">
        <f t="shared" si="66"/>
        <v>0.16046772424426481</v>
      </c>
      <c r="H219" s="89">
        <f t="shared" si="66"/>
        <v>0.18787234869335942</v>
      </c>
      <c r="I219" s="89">
        <f t="shared" si="66"/>
        <v>0.2831196281558151</v>
      </c>
      <c r="J219" s="89">
        <f t="shared" si="66"/>
        <v>0.34965830842567064</v>
      </c>
      <c r="K219" s="89"/>
      <c r="L219" s="89"/>
      <c r="M219" s="89"/>
      <c r="N219" s="89"/>
      <c r="O219" s="89"/>
      <c r="AE219" s="3"/>
      <c r="AF219" s="40"/>
      <c r="AG219" s="8"/>
      <c r="AH219" s="8"/>
      <c r="AI219" s="11"/>
      <c r="AJ219" s="11"/>
      <c r="AK219" s="11"/>
      <c r="AL219" s="11"/>
      <c r="AM219" s="11"/>
      <c r="AN219" s="11"/>
      <c r="AO219" s="12"/>
    </row>
    <row r="220" spans="1:41" x14ac:dyDescent="0.25">
      <c r="A220" s="3" t="s">
        <v>49</v>
      </c>
      <c r="B220" s="89">
        <f t="shared" si="66"/>
        <v>2.5192127776978438E-2</v>
      </c>
      <c r="C220" s="89">
        <f t="shared" si="66"/>
        <v>6.8789200255396574E-2</v>
      </c>
      <c r="D220" s="89">
        <f t="shared" si="66"/>
        <v>0.11495089074957179</v>
      </c>
      <c r="E220" s="89">
        <f t="shared" si="66"/>
        <v>0.15605782742321375</v>
      </c>
      <c r="F220" s="89">
        <f t="shared" si="66"/>
        <v>0.19716476409685568</v>
      </c>
      <c r="G220" s="89">
        <f t="shared" si="66"/>
        <v>0.24070158636639721</v>
      </c>
      <c r="H220" s="89">
        <f t="shared" si="66"/>
        <v>0.28180852304003917</v>
      </c>
      <c r="I220" s="89">
        <f t="shared" si="66"/>
        <v>0.36402239638732309</v>
      </c>
      <c r="J220" s="89">
        <f t="shared" si="66"/>
        <v>0.52448746263850599</v>
      </c>
      <c r="K220" s="89"/>
      <c r="L220" s="89"/>
      <c r="M220" s="89"/>
      <c r="N220" s="89"/>
      <c r="O220" s="89"/>
      <c r="AE220" s="11"/>
      <c r="AF220" s="90"/>
      <c r="AG220" s="90"/>
      <c r="AH220" s="90"/>
      <c r="AI220" s="90"/>
      <c r="AJ220" s="90"/>
      <c r="AK220" s="90"/>
      <c r="AL220" s="90"/>
      <c r="AM220" s="90"/>
      <c r="AN220" s="91"/>
      <c r="AO220" s="12"/>
    </row>
    <row r="221" spans="1:41" x14ac:dyDescent="0.25">
      <c r="A221" s="3" t="s">
        <v>50</v>
      </c>
      <c r="B221" s="89">
        <f t="shared" si="66"/>
        <v>4.2399865329559347E-2</v>
      </c>
      <c r="C221" s="89">
        <f t="shared" si="66"/>
        <v>0.12959401028639561</v>
      </c>
      <c r="D221" s="89">
        <f t="shared" si="66"/>
        <v>0.22191739127474605</v>
      </c>
      <c r="E221" s="89">
        <f t="shared" si="66"/>
        <v>0.30413126462202994</v>
      </c>
      <c r="F221" s="89">
        <f t="shared" si="66"/>
        <v>0.3863451379693138</v>
      </c>
      <c r="G221" s="89">
        <f t="shared" si="66"/>
        <v>0.47341878250839692</v>
      </c>
      <c r="H221" s="89">
        <f t="shared" si="66"/>
        <v>0.55563265585568078</v>
      </c>
      <c r="I221" s="89">
        <f t="shared" si="66"/>
        <v>0.72006040255024861</v>
      </c>
      <c r="J221" s="89">
        <f t="shared" si="66"/>
        <v>0.88934792043661592</v>
      </c>
      <c r="K221" s="89"/>
      <c r="L221" s="89"/>
      <c r="M221" s="89"/>
      <c r="N221" s="89"/>
      <c r="O221" s="89"/>
      <c r="AE221" s="11"/>
      <c r="AF221" s="90"/>
      <c r="AG221" s="90"/>
      <c r="AH221" s="90"/>
      <c r="AI221" s="90"/>
      <c r="AJ221" s="90"/>
      <c r="AK221" s="90"/>
      <c r="AL221" s="90"/>
      <c r="AM221" s="90"/>
      <c r="AN221" s="91"/>
      <c r="AO221" s="12"/>
    </row>
    <row r="222" spans="1:41" x14ac:dyDescent="0.25">
      <c r="A222" s="3"/>
      <c r="B222" s="36"/>
      <c r="C222" s="36"/>
      <c r="D222" s="36"/>
      <c r="E222" s="36"/>
      <c r="F222" s="36"/>
      <c r="G222" s="36"/>
      <c r="H222" s="36"/>
      <c r="I222" s="36"/>
      <c r="J222" s="36"/>
      <c r="K222" s="36"/>
      <c r="L222" s="36"/>
      <c r="M222" s="36"/>
      <c r="AE222" s="11"/>
      <c r="AF222" s="90"/>
      <c r="AG222" s="90"/>
      <c r="AH222" s="90"/>
      <c r="AI222" s="90"/>
      <c r="AJ222" s="90"/>
      <c r="AK222" s="90"/>
      <c r="AL222" s="90"/>
      <c r="AM222" s="90"/>
      <c r="AN222" s="91"/>
      <c r="AO222" s="12"/>
    </row>
    <row r="223" spans="1:41" x14ac:dyDescent="0.25">
      <c r="A223" s="3"/>
      <c r="B223" s="40"/>
      <c r="C223" s="26"/>
      <c r="D223" s="40"/>
      <c r="E223" s="41"/>
      <c r="F223" s="41"/>
      <c r="G223" s="41"/>
      <c r="I223" s="9"/>
    </row>
    <row r="224" spans="1:41" x14ac:dyDescent="0.25">
      <c r="A224" s="1" t="s">
        <v>63</v>
      </c>
      <c r="B224" s="40"/>
      <c r="C224" s="26"/>
      <c r="D224" s="40"/>
      <c r="E224" s="41"/>
      <c r="F224" s="41"/>
      <c r="G224" s="41"/>
      <c r="I224" s="9"/>
    </row>
    <row r="226" spans="1:23" x14ac:dyDescent="0.25">
      <c r="A226" s="35" t="s">
        <v>64</v>
      </c>
      <c r="B226" s="92"/>
      <c r="C226" s="93"/>
      <c r="D226" s="94"/>
      <c r="E226" s="94"/>
      <c r="F226" s="95"/>
      <c r="G226" s="95"/>
      <c r="H226" s="96"/>
      <c r="I226" s="96"/>
      <c r="J226" s="96"/>
      <c r="K226" s="96"/>
      <c r="L226" s="96"/>
      <c r="M226" s="96"/>
      <c r="N226" s="96"/>
      <c r="O226" s="97"/>
      <c r="P226" s="97"/>
      <c r="Q226" s="97"/>
      <c r="R226" s="97"/>
      <c r="S226" s="97"/>
      <c r="T226" s="97"/>
      <c r="U226" s="97"/>
      <c r="V226" s="97"/>
      <c r="W226" s="97"/>
    </row>
    <row r="227" spans="1:23" x14ac:dyDescent="0.25">
      <c r="A227" s="98"/>
      <c r="B227" s="93"/>
      <c r="C227" s="93"/>
      <c r="D227" s="94"/>
      <c r="E227" s="94"/>
      <c r="F227" s="95"/>
      <c r="G227" s="95"/>
      <c r="H227" s="96"/>
      <c r="I227" s="96"/>
      <c r="J227" s="96" t="s">
        <v>634</v>
      </c>
      <c r="K227" s="96"/>
      <c r="L227" s="96"/>
      <c r="M227" s="96"/>
      <c r="N227" s="96"/>
      <c r="O227" s="97"/>
      <c r="P227" s="97"/>
      <c r="Q227" s="97"/>
      <c r="R227" s="97"/>
      <c r="S227" s="97"/>
      <c r="T227" s="97"/>
      <c r="U227" s="97"/>
      <c r="V227" s="97"/>
      <c r="W227" s="97"/>
    </row>
    <row r="228" spans="1:23" x14ac:dyDescent="0.25">
      <c r="A228" s="99"/>
      <c r="B228" s="100"/>
      <c r="C228" s="100"/>
      <c r="D228" s="100"/>
      <c r="E228" s="99"/>
      <c r="F228" s="100"/>
      <c r="G228" s="100"/>
      <c r="H228" s="100"/>
      <c r="I228" s="101"/>
      <c r="J228" s="100"/>
      <c r="K228" s="100"/>
      <c r="L228" s="100"/>
      <c r="M228" s="100"/>
      <c r="N228" s="100"/>
      <c r="O228" s="100"/>
      <c r="P228" s="100"/>
      <c r="Q228" s="100"/>
      <c r="R228" s="100"/>
      <c r="S228" s="100"/>
      <c r="T228" s="100"/>
      <c r="U228" s="100"/>
      <c r="V228" s="102"/>
      <c r="W228" s="103"/>
    </row>
    <row r="229" spans="1:23" x14ac:dyDescent="0.25">
      <c r="A229" s="104" t="s">
        <v>65</v>
      </c>
      <c r="B229" s="105" t="s">
        <v>61</v>
      </c>
      <c r="C229" s="106"/>
      <c r="D229" s="107"/>
      <c r="E229" s="107"/>
      <c r="F229" s="108"/>
      <c r="G229" s="108"/>
      <c r="H229" s="100"/>
      <c r="I229" s="100"/>
      <c r="J229" s="100"/>
      <c r="K229" s="100"/>
      <c r="L229" s="100"/>
      <c r="M229" s="100"/>
      <c r="N229" s="109"/>
      <c r="P229" s="100"/>
      <c r="Q229" s="100"/>
      <c r="R229" s="100"/>
      <c r="S229" s="100"/>
      <c r="T229" s="100"/>
      <c r="V229" s="102"/>
      <c r="W229" s="102"/>
    </row>
    <row r="230" spans="1:23" x14ac:dyDescent="0.25">
      <c r="A230" s="36" t="s">
        <v>31</v>
      </c>
      <c r="B230" s="110"/>
      <c r="C230" s="111"/>
      <c r="D230" s="107"/>
      <c r="E230" s="107"/>
      <c r="F230" s="108"/>
      <c r="G230" s="108"/>
      <c r="H230" s="100"/>
      <c r="I230" s="100"/>
      <c r="J230" s="100"/>
      <c r="K230" s="100"/>
      <c r="L230" s="100"/>
      <c r="M230" s="100"/>
      <c r="N230" s="100"/>
      <c r="O230" s="100"/>
      <c r="P230" s="100"/>
      <c r="Q230" s="100"/>
      <c r="R230" s="100"/>
      <c r="S230" s="100"/>
      <c r="T230" s="100"/>
      <c r="U230" s="100"/>
      <c r="V230" s="102"/>
      <c r="W230" s="102"/>
    </row>
    <row r="231" spans="1:23" ht="15" x14ac:dyDescent="0.2">
      <c r="A231" s="112" t="s">
        <v>32</v>
      </c>
      <c r="B231" s="113">
        <f>B203</f>
        <v>3.809903393242125E-4</v>
      </c>
      <c r="C231" s="162">
        <f>LN(B231)</f>
        <v>-7.8727365392634736</v>
      </c>
      <c r="D231" s="107"/>
      <c r="E231" s="107"/>
      <c r="F231" s="108"/>
      <c r="G231" s="108"/>
      <c r="H231" s="100"/>
      <c r="I231" s="100"/>
      <c r="J231" s="100"/>
      <c r="K231" s="100"/>
      <c r="L231" s="100"/>
      <c r="M231" s="100"/>
      <c r="N231" s="100"/>
      <c r="O231" s="100"/>
      <c r="P231" s="100"/>
      <c r="Q231" s="100"/>
      <c r="R231" s="100"/>
      <c r="S231" s="100"/>
      <c r="T231" s="100"/>
      <c r="U231" s="100"/>
      <c r="V231" s="102"/>
      <c r="W231" s="102"/>
    </row>
    <row r="232" spans="1:23" ht="15" x14ac:dyDescent="0.2">
      <c r="A232" s="112" t="s">
        <v>33</v>
      </c>
      <c r="B232" s="113">
        <f t="shared" ref="B232:B235" si="67">B204</f>
        <v>4.5718840718905496E-4</v>
      </c>
      <c r="C232" s="162">
        <f>LN(B232)</f>
        <v>-7.6904149824695196</v>
      </c>
      <c r="D232" s="107"/>
      <c r="E232" s="107"/>
      <c r="F232" s="108"/>
      <c r="G232" s="108"/>
      <c r="H232" s="100"/>
      <c r="I232" s="100"/>
      <c r="J232" s="100"/>
      <c r="K232" s="100"/>
      <c r="L232" s="100"/>
      <c r="M232" s="100"/>
      <c r="N232" s="100"/>
      <c r="O232" s="100"/>
      <c r="P232" s="100"/>
      <c r="Q232" s="100"/>
      <c r="R232" s="100"/>
      <c r="S232" s="100"/>
      <c r="T232" s="100"/>
      <c r="U232" s="100"/>
      <c r="V232" s="102"/>
      <c r="W232" s="102"/>
    </row>
    <row r="233" spans="1:23" ht="15" x14ac:dyDescent="0.2">
      <c r="A233" s="112" t="s">
        <v>34</v>
      </c>
      <c r="B233" s="113">
        <f t="shared" si="67"/>
        <v>5.7148550898631874E-4</v>
      </c>
      <c r="C233" s="162">
        <f>LN(B233)</f>
        <v>-7.467271431155309</v>
      </c>
      <c r="D233" s="107"/>
      <c r="E233" s="107"/>
      <c r="F233" s="108"/>
      <c r="G233" s="108"/>
      <c r="H233" s="100"/>
      <c r="I233" s="100"/>
      <c r="J233" s="100"/>
      <c r="K233" s="100"/>
      <c r="L233" s="100"/>
      <c r="M233" s="100"/>
      <c r="N233" s="100"/>
      <c r="O233" s="100"/>
      <c r="P233" s="100"/>
      <c r="Q233" s="100"/>
      <c r="R233" s="100"/>
      <c r="S233" s="100"/>
      <c r="T233" s="100"/>
      <c r="U233" s="100"/>
      <c r="V233" s="102"/>
      <c r="W233" s="102"/>
    </row>
    <row r="234" spans="1:23" ht="15" x14ac:dyDescent="0.2">
      <c r="A234" s="112" t="s">
        <v>35</v>
      </c>
      <c r="B234" s="113">
        <f t="shared" si="67"/>
        <v>7.6198067864842499E-4</v>
      </c>
      <c r="C234" s="162">
        <f>LN(B234)</f>
        <v>-7.1795893587035282</v>
      </c>
      <c r="D234" s="107"/>
      <c r="E234" s="107"/>
      <c r="F234" s="108"/>
      <c r="G234" s="108"/>
      <c r="H234" s="100"/>
      <c r="I234" s="100"/>
      <c r="J234" s="100"/>
      <c r="K234" s="100"/>
      <c r="L234" s="100"/>
      <c r="M234" s="100"/>
      <c r="N234" s="100"/>
      <c r="O234" s="100"/>
      <c r="P234" s="100"/>
      <c r="Q234" s="100"/>
      <c r="R234" s="100"/>
      <c r="S234" s="100"/>
      <c r="T234" s="100"/>
      <c r="U234" s="100"/>
      <c r="V234" s="102"/>
      <c r="W234" s="102"/>
    </row>
    <row r="235" spans="1:23" ht="15" x14ac:dyDescent="0.2">
      <c r="A235" s="112" t="s">
        <v>36</v>
      </c>
      <c r="B235" s="113">
        <f t="shared" si="67"/>
        <v>1.1429710179726375E-3</v>
      </c>
      <c r="C235" s="162">
        <f>LN(B235)</f>
        <v>-6.7741242505953636</v>
      </c>
      <c r="D235" s="107"/>
      <c r="E235" s="107"/>
      <c r="F235" s="108"/>
      <c r="G235" s="108"/>
      <c r="H235" s="100"/>
      <c r="I235" s="100"/>
      <c r="J235" s="100"/>
      <c r="K235" s="100"/>
      <c r="L235" s="100"/>
      <c r="M235" s="100"/>
      <c r="N235" s="100"/>
      <c r="O235" s="100"/>
      <c r="P235" s="100"/>
      <c r="Q235" s="100"/>
      <c r="R235" s="100"/>
      <c r="S235" s="100"/>
      <c r="T235" s="100"/>
      <c r="U235" s="100"/>
      <c r="V235" s="102"/>
      <c r="W235" s="102"/>
    </row>
    <row r="236" spans="1:23" ht="15" x14ac:dyDescent="0.2">
      <c r="A236" s="114" t="s">
        <v>37</v>
      </c>
      <c r="B236" s="115">
        <f>B208</f>
        <v>1.52396135729685E-3</v>
      </c>
      <c r="C236" s="164">
        <f t="shared" ref="C236:C248" si="68">LN(B236)</f>
        <v>-6.4864421781435828</v>
      </c>
      <c r="D236" s="107"/>
      <c r="E236" s="107"/>
      <c r="F236" s="108"/>
      <c r="G236" s="108"/>
      <c r="H236" s="100"/>
      <c r="I236" s="100"/>
      <c r="J236" s="100"/>
      <c r="K236" s="100"/>
      <c r="L236" s="100"/>
      <c r="M236" s="100"/>
      <c r="N236" s="100"/>
      <c r="O236" s="100"/>
      <c r="P236" s="100"/>
      <c r="Q236" s="100"/>
      <c r="R236" s="100"/>
      <c r="S236" s="100"/>
      <c r="T236" s="100"/>
      <c r="U236" s="100"/>
      <c r="V236" s="102"/>
      <c r="W236" s="102"/>
    </row>
    <row r="237" spans="1:23" ht="15" x14ac:dyDescent="0.2">
      <c r="A237" s="114" t="s">
        <v>38</v>
      </c>
      <c r="B237" s="115">
        <f>B209</f>
        <v>1.7236968610672106E-3</v>
      </c>
      <c r="C237" s="164">
        <f t="shared" si="68"/>
        <v>-6.3632839568491493</v>
      </c>
      <c r="D237" s="107"/>
      <c r="E237" s="107"/>
      <c r="F237" s="108"/>
      <c r="G237" s="108"/>
      <c r="H237" s="100"/>
      <c r="I237" s="100"/>
      <c r="J237" s="100"/>
      <c r="K237" s="100"/>
      <c r="L237" s="100"/>
      <c r="M237" s="100"/>
      <c r="N237" s="100"/>
      <c r="O237" s="100"/>
      <c r="P237" s="100"/>
      <c r="Q237" s="100"/>
      <c r="R237" s="100"/>
      <c r="S237" s="100"/>
      <c r="T237" s="100"/>
      <c r="U237" s="100"/>
      <c r="V237" s="102"/>
      <c r="W237" s="102"/>
    </row>
    <row r="238" spans="1:23" ht="15" x14ac:dyDescent="0.2">
      <c r="A238" s="114" t="s">
        <v>39</v>
      </c>
      <c r="B238" s="115">
        <f t="shared" ref="B238:B248" si="69">B210</f>
        <v>1.9583067129441342E-3</v>
      </c>
      <c r="C238" s="164">
        <f t="shared" si="68"/>
        <v>-6.2356751011026441</v>
      </c>
      <c r="D238" s="107"/>
      <c r="E238" s="107"/>
      <c r="F238" s="108"/>
      <c r="G238" s="108"/>
      <c r="H238" s="100"/>
      <c r="I238" s="100"/>
      <c r="J238" s="100"/>
      <c r="K238" s="100"/>
      <c r="L238" s="100"/>
      <c r="M238" s="100"/>
      <c r="N238" s="100"/>
      <c r="O238" s="100"/>
      <c r="P238" s="100"/>
      <c r="Q238" s="100"/>
      <c r="R238" s="100"/>
      <c r="S238" s="100"/>
      <c r="T238" s="100"/>
      <c r="U238" s="100"/>
      <c r="V238" s="102"/>
      <c r="W238" s="102"/>
    </row>
    <row r="239" spans="1:23" ht="15" x14ac:dyDescent="0.2">
      <c r="A239" s="114" t="s">
        <v>40</v>
      </c>
      <c r="B239" s="115">
        <f t="shared" si="69"/>
        <v>2.561589189199083E-3</v>
      </c>
      <c r="C239" s="164">
        <f t="shared" si="68"/>
        <v>-5.9671274360621309</v>
      </c>
      <c r="D239" s="107"/>
      <c r="E239" s="107"/>
      <c r="F239" s="108"/>
      <c r="G239" s="108"/>
      <c r="H239" s="100"/>
      <c r="I239" s="100"/>
      <c r="J239" s="100"/>
      <c r="K239" s="100"/>
      <c r="L239" s="100"/>
      <c r="M239" s="100"/>
      <c r="N239" s="100"/>
      <c r="O239" s="100"/>
      <c r="P239" s="100"/>
      <c r="Q239" s="100"/>
      <c r="R239" s="100"/>
      <c r="S239" s="100"/>
      <c r="T239" s="100"/>
      <c r="U239" s="100"/>
      <c r="V239" s="102"/>
      <c r="W239" s="102"/>
    </row>
    <row r="240" spans="1:23" ht="15" x14ac:dyDescent="0.2">
      <c r="A240" s="114" t="s">
        <v>41</v>
      </c>
      <c r="B240" s="115">
        <f t="shared" si="69"/>
        <v>3.241315624864567E-3</v>
      </c>
      <c r="C240" s="164">
        <f t="shared" si="68"/>
        <v>-5.73177597453979</v>
      </c>
      <c r="D240" s="107"/>
      <c r="E240" s="107"/>
      <c r="F240" s="108"/>
      <c r="G240" s="108"/>
      <c r="H240" s="100"/>
      <c r="I240" s="100"/>
      <c r="J240" s="100"/>
      <c r="K240" s="100"/>
      <c r="L240" s="100"/>
      <c r="M240" s="100"/>
      <c r="N240" s="100"/>
      <c r="O240" s="100"/>
      <c r="P240" s="100"/>
      <c r="Q240" s="100"/>
      <c r="R240" s="100"/>
      <c r="S240" s="100"/>
      <c r="T240" s="100"/>
      <c r="U240" s="100"/>
      <c r="V240" s="102"/>
      <c r="W240" s="116"/>
    </row>
    <row r="241" spans="1:23" ht="15" x14ac:dyDescent="0.2">
      <c r="A241" s="114" t="s">
        <v>42</v>
      </c>
      <c r="B241" s="115">
        <f t="shared" si="69"/>
        <v>3.56294478458741E-3</v>
      </c>
      <c r="C241" s="164">
        <f t="shared" si="68"/>
        <v>-5.6371678893666974</v>
      </c>
      <c r="D241" s="107"/>
      <c r="E241" s="107"/>
      <c r="F241" s="108"/>
      <c r="G241" s="108"/>
      <c r="H241" s="100"/>
      <c r="I241" s="100"/>
      <c r="J241" s="100"/>
      <c r="K241" s="100"/>
      <c r="L241" s="100"/>
      <c r="M241" s="100"/>
      <c r="N241" s="100"/>
      <c r="O241" s="100"/>
      <c r="P241" s="100"/>
      <c r="Q241" s="100"/>
      <c r="R241" s="100"/>
      <c r="S241" s="100"/>
      <c r="T241" s="100"/>
      <c r="U241" s="100"/>
      <c r="V241" s="102"/>
      <c r="W241" s="116"/>
    </row>
    <row r="242" spans="1:23" ht="15" x14ac:dyDescent="0.2">
      <c r="A242" s="114" t="s">
        <v>43</v>
      </c>
      <c r="B242" s="115">
        <f t="shared" si="69"/>
        <v>4.1357032242376563E-3</v>
      </c>
      <c r="C242" s="166">
        <f t="shared" si="68"/>
        <v>-5.4880978986450417</v>
      </c>
      <c r="D242" s="107"/>
      <c r="E242" s="107"/>
      <c r="F242" s="108"/>
      <c r="G242" s="108"/>
      <c r="H242" s="100"/>
      <c r="I242" s="100"/>
      <c r="J242" s="100"/>
      <c r="K242" s="100"/>
      <c r="L242" s="100"/>
      <c r="M242" s="100"/>
      <c r="N242" s="100"/>
      <c r="O242" s="100"/>
      <c r="P242" s="100"/>
      <c r="Q242" s="100"/>
      <c r="R242" s="100"/>
      <c r="S242" s="100"/>
      <c r="T242" s="100"/>
      <c r="U242" s="100"/>
      <c r="V242" s="102"/>
      <c r="W242" s="117"/>
    </row>
    <row r="243" spans="1:23" ht="15" x14ac:dyDescent="0.2">
      <c r="A243" s="114" t="s">
        <v>44</v>
      </c>
      <c r="B243" s="115">
        <f t="shared" si="69"/>
        <v>6.1071915060620331E-3</v>
      </c>
      <c r="C243" s="164">
        <f t="shared" si="68"/>
        <v>-5.0982882667815144</v>
      </c>
      <c r="D243" s="107"/>
      <c r="E243" s="107"/>
      <c r="F243" s="108"/>
      <c r="G243" s="108"/>
      <c r="H243" s="100"/>
      <c r="I243" s="100"/>
      <c r="J243" s="100"/>
      <c r="K243" s="100"/>
      <c r="L243" s="100"/>
      <c r="M243" s="100"/>
      <c r="N243" s="100"/>
      <c r="O243" s="100"/>
      <c r="P243" s="100"/>
      <c r="Q243" s="100"/>
      <c r="R243" s="100"/>
      <c r="S243" s="100"/>
      <c r="T243" s="100"/>
      <c r="U243" s="100"/>
      <c r="V243" s="102"/>
      <c r="W243" s="117"/>
    </row>
    <row r="244" spans="1:23" ht="15" x14ac:dyDescent="0.2">
      <c r="A244" s="114" t="s">
        <v>45</v>
      </c>
      <c r="B244" s="115">
        <f t="shared" si="69"/>
        <v>1.0011792605393708E-2</v>
      </c>
      <c r="C244" s="164">
        <f t="shared" si="68"/>
        <v>-4.6039916202302651</v>
      </c>
      <c r="D244" s="107"/>
      <c r="E244" s="107"/>
      <c r="F244" s="108"/>
      <c r="G244" s="108"/>
      <c r="H244" s="100"/>
      <c r="I244" s="100"/>
      <c r="J244" s="100"/>
      <c r="K244" s="100"/>
      <c r="L244" s="100"/>
      <c r="M244" s="100"/>
      <c r="N244" s="100"/>
      <c r="O244" s="100"/>
      <c r="P244" s="100"/>
      <c r="Q244" s="100"/>
      <c r="R244" s="100"/>
      <c r="S244" s="100"/>
      <c r="T244" s="100"/>
      <c r="U244" s="100"/>
      <c r="V244" s="102"/>
      <c r="W244" s="102"/>
    </row>
    <row r="245" spans="1:23" ht="15" x14ac:dyDescent="0.2">
      <c r="A245" s="114" t="s">
        <v>46</v>
      </c>
      <c r="B245" s="115">
        <f t="shared" si="69"/>
        <v>1.2059182476848696E-2</v>
      </c>
      <c r="C245" s="164">
        <f t="shared" si="68"/>
        <v>-4.4179288779701356</v>
      </c>
      <c r="D245" s="107"/>
      <c r="E245" s="107"/>
      <c r="F245" s="108"/>
      <c r="G245" s="108"/>
      <c r="H245" s="100"/>
      <c r="I245" s="100"/>
      <c r="J245" s="100"/>
      <c r="K245" s="100"/>
      <c r="L245" s="100"/>
      <c r="M245" s="100"/>
      <c r="N245" s="100"/>
      <c r="O245" s="100"/>
      <c r="P245" s="100"/>
      <c r="Q245" s="100"/>
      <c r="R245" s="100"/>
      <c r="S245" s="100"/>
      <c r="T245" s="100"/>
      <c r="U245" s="100"/>
      <c r="V245" s="102"/>
      <c r="W245" s="118"/>
    </row>
    <row r="246" spans="1:23" x14ac:dyDescent="0.25">
      <c r="A246" s="114" t="s">
        <v>47</v>
      </c>
      <c r="B246" s="115">
        <f t="shared" si="69"/>
        <v>1.5073978096060871E-2</v>
      </c>
      <c r="C246" s="164">
        <f t="shared" si="68"/>
        <v>-4.1947853266559259</v>
      </c>
      <c r="D246" s="107"/>
      <c r="E246" s="107"/>
      <c r="F246" s="108"/>
      <c r="G246" s="108"/>
      <c r="H246" s="100"/>
      <c r="I246" s="100"/>
      <c r="J246" s="100"/>
      <c r="K246" s="100"/>
      <c r="L246" s="100"/>
      <c r="M246" s="100"/>
      <c r="N246" s="100"/>
      <c r="O246" s="100"/>
      <c r="P246" s="100"/>
      <c r="Q246" s="100"/>
      <c r="R246" s="100"/>
      <c r="S246" s="100"/>
      <c r="T246" s="100"/>
      <c r="U246" s="100"/>
      <c r="V246" s="102"/>
      <c r="W246" s="119"/>
    </row>
    <row r="247" spans="1:23" x14ac:dyDescent="0.25">
      <c r="A247" s="114" t="s">
        <v>48</v>
      </c>
      <c r="B247" s="115">
        <f t="shared" si="69"/>
        <v>1.679475185131896E-2</v>
      </c>
      <c r="C247" s="164">
        <f t="shared" si="68"/>
        <v>-4.0866888311792255</v>
      </c>
      <c r="D247" s="107"/>
      <c r="E247" s="107"/>
      <c r="F247" s="108"/>
      <c r="G247" s="108"/>
      <c r="H247" s="100"/>
      <c r="I247" s="100"/>
      <c r="J247" s="100"/>
      <c r="K247" s="100"/>
      <c r="L247" s="100"/>
      <c r="M247" s="100"/>
      <c r="N247" s="100"/>
      <c r="O247" s="100"/>
      <c r="P247" s="100"/>
      <c r="Q247" s="100"/>
      <c r="R247" s="100"/>
      <c r="S247" s="100"/>
      <c r="T247" s="100"/>
      <c r="U247" s="100"/>
      <c r="V247" s="102"/>
      <c r="W247" s="119"/>
    </row>
    <row r="248" spans="1:23" x14ac:dyDescent="0.25">
      <c r="A248" s="114" t="s">
        <v>49</v>
      </c>
      <c r="B248" s="115">
        <f t="shared" si="69"/>
        <v>2.5192127776978438E-2</v>
      </c>
      <c r="C248" s="164">
        <f t="shared" si="68"/>
        <v>-3.6812237230710609</v>
      </c>
      <c r="D248" s="107"/>
      <c r="E248" s="107"/>
      <c r="F248" s="108"/>
      <c r="G248" s="108"/>
      <c r="H248" s="100"/>
      <c r="I248" s="100"/>
      <c r="J248" s="100"/>
      <c r="K248" s="100"/>
      <c r="L248" s="100"/>
      <c r="M248" s="100"/>
      <c r="N248" s="100"/>
      <c r="O248" s="100"/>
      <c r="P248" s="100"/>
      <c r="Q248" s="100"/>
      <c r="R248" s="100"/>
      <c r="S248" s="100"/>
      <c r="T248" s="100"/>
      <c r="U248" s="100"/>
      <c r="V248" s="100"/>
      <c r="W248" s="120"/>
    </row>
    <row r="249" spans="1:23" x14ac:dyDescent="0.25">
      <c r="A249" s="114" t="s">
        <v>50</v>
      </c>
      <c r="B249" s="115">
        <f>B221</f>
        <v>4.2399865329559347E-2</v>
      </c>
      <c r="C249" s="164">
        <f>LN(B249)</f>
        <v>-3.1606100929389069</v>
      </c>
      <c r="D249" s="107"/>
      <c r="E249" s="107"/>
      <c r="F249" s="108"/>
      <c r="G249" s="108"/>
      <c r="H249" s="100"/>
      <c r="I249" s="100"/>
      <c r="J249" s="100"/>
      <c r="K249" s="100"/>
      <c r="L249" s="100"/>
      <c r="M249" s="100"/>
      <c r="N249" s="100"/>
      <c r="O249" s="100"/>
      <c r="P249" s="100"/>
      <c r="Q249" s="100"/>
      <c r="R249" s="100"/>
      <c r="S249" s="100"/>
      <c r="T249" s="100"/>
      <c r="U249" s="100"/>
      <c r="V249" s="100"/>
      <c r="W249" s="120"/>
    </row>
    <row r="250" spans="1:23" ht="16.5" thickBot="1" x14ac:dyDescent="0.3">
      <c r="A250" s="120"/>
      <c r="B250" s="115"/>
      <c r="C250" s="106"/>
      <c r="D250" s="107"/>
      <c r="E250" s="107"/>
      <c r="F250" s="108"/>
      <c r="G250" s="108"/>
      <c r="H250" s="100"/>
      <c r="I250" s="100"/>
      <c r="J250" s="100"/>
      <c r="K250" s="100"/>
      <c r="L250" s="100"/>
      <c r="M250" s="100"/>
      <c r="N250" s="100"/>
      <c r="O250" s="100"/>
      <c r="P250" s="100"/>
      <c r="Q250" s="100"/>
      <c r="R250" s="100"/>
      <c r="S250" s="100"/>
      <c r="T250" s="100"/>
      <c r="U250" s="100"/>
      <c r="V250" s="100"/>
      <c r="W250" s="121"/>
    </row>
    <row r="251" spans="1:23" ht="16.5" thickBot="1" x14ac:dyDescent="0.3">
      <c r="A251" s="120"/>
      <c r="B251" s="106"/>
      <c r="C251" s="106"/>
      <c r="D251" s="107"/>
      <c r="E251" s="107"/>
      <c r="F251" s="108"/>
      <c r="G251" s="108"/>
      <c r="H251" s="100"/>
      <c r="I251" s="100"/>
      <c r="J251" s="96" t="str">
        <f>"ln(cost) =" &amp;L251 &amp; "ln(SOQ)+ " &amp; N251</f>
        <v>ln(cost) =-0.7ln(SOQ)+ 6.6</v>
      </c>
      <c r="K251" s="96"/>
      <c r="L251" s="158">
        <f>ROUND(SLOPE(C231:C249,E$179:E$197),2)</f>
        <v>-0.7</v>
      </c>
      <c r="M251" s="122"/>
      <c r="N251" s="157">
        <f>ROUND(INTERCEPT(C231:C249,E$179:E$197),2)</f>
        <v>6.6</v>
      </c>
      <c r="O251" s="100"/>
      <c r="P251" s="100"/>
      <c r="Q251" s="100"/>
      <c r="R251" s="100"/>
      <c r="S251" s="100"/>
      <c r="T251" s="100"/>
      <c r="U251" s="100"/>
      <c r="V251" s="100"/>
      <c r="W251" s="121"/>
    </row>
    <row r="252" spans="1:23" ht="16.5" thickBot="1" x14ac:dyDescent="0.3">
      <c r="D252" s="107"/>
      <c r="E252" s="107"/>
      <c r="F252" s="108"/>
      <c r="G252" s="108"/>
      <c r="H252" s="100"/>
      <c r="I252" s="100"/>
      <c r="J252" s="100" t="str">
        <f>"Cost =SOQ^" &amp; L251 &amp; " * e^" &amp; N251</f>
        <v>Cost =SOQ^-0.7 * e^6.6</v>
      </c>
      <c r="K252" s="100"/>
      <c r="L252" s="156"/>
      <c r="N252" s="100"/>
      <c r="S252" s="100"/>
      <c r="T252" s="100"/>
      <c r="U252" s="100"/>
      <c r="V252" s="100"/>
      <c r="W252" s="121"/>
    </row>
    <row r="253" spans="1:23" ht="16.5" thickBot="1" x14ac:dyDescent="0.3">
      <c r="A253" s="123" t="s">
        <v>66</v>
      </c>
      <c r="D253" s="107"/>
      <c r="E253" s="107"/>
      <c r="F253" s="108"/>
      <c r="G253" s="108"/>
      <c r="H253" s="100"/>
      <c r="I253" s="100"/>
      <c r="J253" s="99" t="str">
        <f>"Cost =SOQ^"&amp;L251&amp;" *" &amp; L253</f>
        <v>Cost =SOQ^-0.7 *735.1</v>
      </c>
      <c r="K253" s="100"/>
      <c r="L253" s="124">
        <f>ROUND(EXP(N251),2)</f>
        <v>735.1</v>
      </c>
      <c r="M253" s="125" t="s">
        <v>67</v>
      </c>
      <c r="S253" s="100"/>
      <c r="T253" s="100"/>
      <c r="U253" s="100"/>
      <c r="V253" s="100"/>
      <c r="W253" s="121"/>
    </row>
    <row r="254" spans="1:23" x14ac:dyDescent="0.25">
      <c r="A254" s="123"/>
      <c r="D254" s="107"/>
      <c r="E254" s="107"/>
      <c r="F254" s="108"/>
      <c r="G254" s="108"/>
      <c r="H254" s="100"/>
      <c r="I254" s="100"/>
      <c r="J254" s="99"/>
      <c r="K254" s="100"/>
      <c r="L254" s="100"/>
      <c r="M254" s="126"/>
      <c r="N254" s="100"/>
      <c r="S254" s="100"/>
      <c r="T254" s="100"/>
      <c r="U254" s="100"/>
      <c r="V254" s="100"/>
      <c r="W254" s="121"/>
    </row>
    <row r="255" spans="1:23" x14ac:dyDescent="0.25">
      <c r="D255" s="100"/>
      <c r="E255" s="100"/>
      <c r="F255" s="100"/>
      <c r="G255" s="100"/>
      <c r="H255" s="100"/>
      <c r="I255" s="100"/>
      <c r="J255" s="100"/>
      <c r="K255" s="100"/>
      <c r="L255" s="100"/>
      <c r="M255" s="100"/>
      <c r="N255" s="100"/>
      <c r="S255" s="100"/>
      <c r="T255" s="100"/>
      <c r="U255" s="100"/>
      <c r="V255" s="100"/>
      <c r="W255" s="100"/>
    </row>
    <row r="256" spans="1:23" x14ac:dyDescent="0.25">
      <c r="A256" s="127"/>
      <c r="B256" s="96"/>
      <c r="C256" s="96"/>
      <c r="D256" s="96"/>
      <c r="E256" s="127"/>
      <c r="F256" s="96"/>
      <c r="G256" s="96"/>
      <c r="H256" s="96"/>
      <c r="I256" s="128"/>
      <c r="J256" s="96"/>
      <c r="K256" s="96"/>
      <c r="L256" s="96"/>
      <c r="M256" s="96"/>
      <c r="N256" s="96"/>
      <c r="O256" s="96"/>
      <c r="P256" s="96"/>
      <c r="Q256" s="96"/>
      <c r="R256" s="96"/>
      <c r="S256" s="96"/>
      <c r="T256" s="96"/>
      <c r="U256" s="96"/>
      <c r="V256" s="96"/>
      <c r="W256" s="129"/>
    </row>
    <row r="257" spans="1:23" x14ac:dyDescent="0.25">
      <c r="A257" s="130" t="s">
        <v>65</v>
      </c>
      <c r="B257" s="131" t="s">
        <v>633</v>
      </c>
      <c r="C257" s="96"/>
      <c r="D257" s="96"/>
      <c r="E257" s="96"/>
      <c r="F257" s="96"/>
      <c r="G257" s="96"/>
      <c r="H257" s="96"/>
      <c r="I257" s="96"/>
      <c r="J257" s="96"/>
      <c r="K257" s="96"/>
      <c r="L257" s="96"/>
      <c r="M257" s="96"/>
      <c r="N257" s="96"/>
      <c r="O257" s="96"/>
      <c r="P257" s="96"/>
      <c r="Q257" s="96"/>
      <c r="R257" s="96"/>
      <c r="S257" s="96"/>
      <c r="T257" s="96"/>
      <c r="U257" s="96"/>
      <c r="V257" s="96"/>
      <c r="W257" s="132"/>
    </row>
    <row r="258" spans="1:23" x14ac:dyDescent="0.25">
      <c r="A258" s="36" t="s">
        <v>31</v>
      </c>
      <c r="B258" s="110"/>
      <c r="C258" s="133"/>
      <c r="D258" s="96"/>
      <c r="E258" s="96"/>
      <c r="F258" s="96"/>
      <c r="G258" s="96"/>
      <c r="H258" s="96"/>
      <c r="I258" s="96"/>
      <c r="J258" s="96"/>
      <c r="K258" s="96"/>
      <c r="L258" s="96"/>
      <c r="M258" s="96"/>
      <c r="N258" s="96"/>
      <c r="O258" s="96"/>
      <c r="P258" s="96"/>
      <c r="Q258" s="96"/>
      <c r="R258" s="96"/>
      <c r="S258" s="96"/>
      <c r="T258" s="96"/>
      <c r="U258" s="96"/>
      <c r="V258" s="96"/>
      <c r="W258" s="132"/>
    </row>
    <row r="259" spans="1:23" ht="15" x14ac:dyDescent="0.2">
      <c r="A259" s="112" t="s">
        <v>32</v>
      </c>
      <c r="B259" s="113">
        <f>(J203-B203)/50</f>
        <v>1.5598457978846332E-4</v>
      </c>
      <c r="C259" s="162">
        <f>LN(B259)</f>
        <v>-8.7657534031103239</v>
      </c>
      <c r="D259" s="96"/>
      <c r="E259" s="96"/>
      <c r="F259" s="96"/>
      <c r="G259" s="96"/>
      <c r="H259" s="96"/>
      <c r="I259" s="96"/>
      <c r="J259" s="96"/>
      <c r="K259" s="96"/>
      <c r="L259" s="96"/>
      <c r="M259" s="96"/>
      <c r="N259" s="96"/>
      <c r="O259" s="96"/>
      <c r="P259" s="96"/>
      <c r="Q259" s="96"/>
      <c r="R259" s="96"/>
      <c r="S259" s="96"/>
      <c r="T259" s="96"/>
      <c r="U259" s="96"/>
      <c r="V259" s="96"/>
      <c r="W259" s="132"/>
    </row>
    <row r="260" spans="1:23" ht="15" x14ac:dyDescent="0.2">
      <c r="A260" s="112" t="s">
        <v>33</v>
      </c>
      <c r="B260" s="113">
        <f t="shared" ref="B260:B277" si="70">(J204-B204)/50</f>
        <v>1.8718149574615595E-4</v>
      </c>
      <c r="C260" s="162">
        <f>LN(B260)</f>
        <v>-8.5834318463163708</v>
      </c>
      <c r="D260" s="96"/>
      <c r="E260" s="96"/>
      <c r="F260" s="96"/>
      <c r="G260" s="96"/>
      <c r="H260" s="96"/>
      <c r="I260" s="96"/>
      <c r="J260" s="96"/>
      <c r="K260" s="96"/>
      <c r="L260" s="96"/>
      <c r="M260" s="96"/>
      <c r="N260" s="96"/>
      <c r="O260" s="96"/>
      <c r="P260" s="96"/>
      <c r="Q260" s="96"/>
      <c r="R260" s="96"/>
      <c r="S260" s="96"/>
      <c r="T260" s="96"/>
      <c r="U260" s="96"/>
      <c r="V260" s="96"/>
      <c r="W260" s="132"/>
    </row>
    <row r="261" spans="1:23" ht="15" x14ac:dyDescent="0.2">
      <c r="A261" s="112" t="s">
        <v>34</v>
      </c>
      <c r="B261" s="113">
        <f t="shared" si="70"/>
        <v>2.33976869682695E-4</v>
      </c>
      <c r="C261" s="162">
        <f>LN(B261)</f>
        <v>-8.3602882950021602</v>
      </c>
      <c r="D261" s="96"/>
      <c r="E261" s="96"/>
      <c r="F261" s="96"/>
      <c r="G261" s="96"/>
      <c r="H261" s="96"/>
      <c r="I261" s="96"/>
      <c r="J261" s="96"/>
      <c r="K261" s="96"/>
      <c r="L261" s="96"/>
      <c r="M261" s="96"/>
      <c r="N261" s="96"/>
      <c r="O261" s="96"/>
      <c r="P261" s="96"/>
      <c r="Q261" s="96"/>
      <c r="R261" s="96"/>
      <c r="S261" s="96"/>
      <c r="T261" s="96"/>
      <c r="U261" s="96"/>
      <c r="V261" s="96"/>
      <c r="W261" s="132"/>
    </row>
    <row r="262" spans="1:23" ht="15" x14ac:dyDescent="0.2">
      <c r="A262" s="112" t="s">
        <v>35</v>
      </c>
      <c r="B262" s="113">
        <f t="shared" si="70"/>
        <v>3.1196915957692665E-4</v>
      </c>
      <c r="C262" s="162">
        <f>LN(B262)</f>
        <v>-8.0726062225503785</v>
      </c>
      <c r="D262" s="96"/>
      <c r="E262" s="96"/>
      <c r="F262" s="96"/>
      <c r="G262" s="96"/>
      <c r="H262" s="96"/>
      <c r="I262" s="96"/>
      <c r="J262" s="96"/>
      <c r="K262" s="96"/>
      <c r="L262" s="96"/>
      <c r="M262" s="96"/>
      <c r="N262" s="96"/>
      <c r="O262" s="96"/>
      <c r="P262" s="96"/>
      <c r="Q262" s="96"/>
      <c r="R262" s="96"/>
      <c r="S262" s="96"/>
      <c r="T262" s="96"/>
      <c r="U262" s="96"/>
      <c r="V262" s="96"/>
      <c r="W262" s="132"/>
    </row>
    <row r="263" spans="1:23" ht="15" x14ac:dyDescent="0.2">
      <c r="A263" s="112" t="s">
        <v>36</v>
      </c>
      <c r="B263" s="113">
        <f t="shared" si="70"/>
        <v>1.9145120620036888E-4</v>
      </c>
      <c r="C263" s="162">
        <f>LN(B263)</f>
        <v>-8.5608775797193761</v>
      </c>
      <c r="D263" s="96"/>
      <c r="E263" s="96"/>
      <c r="F263" s="96"/>
      <c r="G263" s="96"/>
      <c r="H263" s="96"/>
      <c r="I263" s="96"/>
      <c r="J263" s="96"/>
      <c r="K263" s="96"/>
      <c r="L263" s="96"/>
      <c r="M263" s="96"/>
      <c r="N263" s="96"/>
      <c r="O263" s="96"/>
      <c r="P263" s="96"/>
      <c r="Q263" s="96"/>
      <c r="R263" s="96"/>
      <c r="S263" s="96"/>
      <c r="T263" s="96"/>
      <c r="U263" s="96"/>
      <c r="V263" s="96"/>
      <c r="W263" s="132"/>
    </row>
    <row r="264" spans="1:23" x14ac:dyDescent="0.25">
      <c r="A264" s="114" t="s">
        <v>37</v>
      </c>
      <c r="B264" s="134">
        <f t="shared" si="70"/>
        <v>2.5526827493382517E-4</v>
      </c>
      <c r="C264" s="163">
        <f t="shared" ref="C264:C277" si="71">LN(B264)</f>
        <v>-8.2731955072675962</v>
      </c>
      <c r="D264" s="96"/>
      <c r="E264" s="96"/>
      <c r="F264" s="96"/>
      <c r="G264" s="96"/>
      <c r="H264" s="96"/>
      <c r="I264" s="96"/>
      <c r="J264" s="96"/>
      <c r="K264" s="96"/>
      <c r="L264" s="96"/>
      <c r="M264" s="96"/>
      <c r="N264" s="96"/>
      <c r="O264" s="96"/>
      <c r="P264" s="96"/>
      <c r="Q264" s="96"/>
      <c r="R264" s="96"/>
      <c r="S264" s="96"/>
      <c r="T264" s="96"/>
      <c r="U264" s="96"/>
      <c r="V264" s="96"/>
      <c r="W264" s="135"/>
    </row>
    <row r="265" spans="1:23" ht="15" x14ac:dyDescent="0.2">
      <c r="A265" s="114" t="s">
        <v>38</v>
      </c>
      <c r="B265" s="134">
        <f t="shared" si="70"/>
        <v>3.190853436672813E-4</v>
      </c>
      <c r="C265" s="163">
        <f t="shared" si="71"/>
        <v>-8.0500519559533856</v>
      </c>
      <c r="D265" s="96"/>
      <c r="E265" s="96"/>
      <c r="F265" s="96"/>
      <c r="G265" s="96"/>
      <c r="H265" s="96"/>
      <c r="I265" s="96"/>
      <c r="J265" s="96"/>
      <c r="K265" s="96"/>
      <c r="L265" s="96"/>
      <c r="M265" s="96"/>
      <c r="N265" s="96"/>
      <c r="O265" s="96"/>
      <c r="P265" s="96"/>
      <c r="Q265" s="96"/>
      <c r="R265" s="96"/>
      <c r="S265" s="96"/>
      <c r="T265" s="96"/>
      <c r="U265" s="96"/>
      <c r="V265" s="96"/>
      <c r="W265" s="132"/>
    </row>
    <row r="266" spans="1:23" ht="15" x14ac:dyDescent="0.2">
      <c r="A266" s="114" t="s">
        <v>39</v>
      </c>
      <c r="B266" s="134">
        <f t="shared" si="70"/>
        <v>3.8290241240073771E-4</v>
      </c>
      <c r="C266" s="163">
        <f t="shared" si="71"/>
        <v>-7.8677303991594316</v>
      </c>
      <c r="D266" s="96"/>
      <c r="E266" s="96"/>
      <c r="F266" s="96"/>
      <c r="G266" s="96"/>
      <c r="H266" s="96"/>
      <c r="I266" s="96"/>
      <c r="J266" s="96"/>
      <c r="K266" s="96"/>
      <c r="L266" s="96"/>
      <c r="M266" s="96"/>
      <c r="N266" s="96"/>
      <c r="O266" s="96"/>
      <c r="P266" s="96"/>
      <c r="Q266" s="96"/>
      <c r="R266" s="96"/>
      <c r="S266" s="96"/>
      <c r="T266" s="96"/>
      <c r="U266" s="96"/>
      <c r="V266" s="96"/>
      <c r="W266" s="132"/>
    </row>
    <row r="267" spans="1:23" ht="15" x14ac:dyDescent="0.2">
      <c r="A267" s="114" t="s">
        <v>40</v>
      </c>
      <c r="B267" s="134">
        <f t="shared" si="70"/>
        <v>4.788364804784332E-4</v>
      </c>
      <c r="C267" s="163">
        <f t="shared" si="71"/>
        <v>-7.6441513957074543</v>
      </c>
      <c r="D267" s="96"/>
      <c r="E267" s="96"/>
      <c r="F267" s="96"/>
      <c r="G267" s="96"/>
      <c r="H267" s="96"/>
      <c r="I267" s="96"/>
      <c r="J267" s="96"/>
      <c r="K267" s="96"/>
      <c r="L267" s="96"/>
      <c r="M267" s="96"/>
      <c r="N267" s="96"/>
      <c r="O267" s="96"/>
      <c r="P267" s="96"/>
      <c r="Q267" s="96"/>
      <c r="R267" s="96"/>
      <c r="S267" s="96"/>
      <c r="T267" s="96"/>
      <c r="U267" s="96"/>
      <c r="V267" s="96"/>
      <c r="W267" s="132"/>
    </row>
    <row r="268" spans="1:23" x14ac:dyDescent="0.25">
      <c r="A268" s="114" t="s">
        <v>41</v>
      </c>
      <c r="B268" s="134">
        <f t="shared" si="70"/>
        <v>6.7037107266980671E-4</v>
      </c>
      <c r="C268" s="163">
        <f t="shared" si="71"/>
        <v>-7.3076791590862413</v>
      </c>
      <c r="D268" s="96"/>
      <c r="E268" s="96"/>
      <c r="F268" s="96"/>
      <c r="G268" s="96"/>
      <c r="H268" s="96"/>
      <c r="I268" s="96"/>
      <c r="J268" s="96"/>
      <c r="K268" s="96"/>
      <c r="L268" s="96"/>
      <c r="M268" s="96"/>
      <c r="N268" s="96"/>
      <c r="O268" s="96"/>
      <c r="P268" s="96"/>
      <c r="Q268" s="96"/>
      <c r="R268" s="96"/>
      <c r="S268" s="96"/>
      <c r="T268" s="96"/>
      <c r="U268" s="96"/>
      <c r="V268" s="96"/>
      <c r="W268" s="135"/>
    </row>
    <row r="269" spans="1:23" ht="15" x14ac:dyDescent="0.2">
      <c r="A269" s="114" t="s">
        <v>42</v>
      </c>
      <c r="B269" s="134">
        <f t="shared" si="70"/>
        <v>8.3796384083725838E-4</v>
      </c>
      <c r="C269" s="163">
        <f t="shared" si="71"/>
        <v>-7.0845356077720316</v>
      </c>
      <c r="D269" s="96"/>
      <c r="E269" s="96"/>
      <c r="F269" s="96"/>
      <c r="G269" s="96"/>
      <c r="H269" s="96"/>
      <c r="I269" s="96"/>
      <c r="J269" s="96"/>
      <c r="K269" s="96"/>
      <c r="L269" s="96"/>
      <c r="M269" s="96"/>
      <c r="N269" s="96"/>
      <c r="O269" s="96"/>
      <c r="P269" s="96"/>
      <c r="Q269" s="96"/>
      <c r="R269" s="96"/>
      <c r="S269" s="96"/>
      <c r="T269" s="96"/>
      <c r="U269" s="96"/>
      <c r="V269" s="96"/>
      <c r="W269" s="132"/>
    </row>
    <row r="270" spans="1:23" ht="15" x14ac:dyDescent="0.2">
      <c r="A270" s="114" t="s">
        <v>43</v>
      </c>
      <c r="B270" s="134">
        <f t="shared" si="70"/>
        <v>8.0389038424328024E-4</v>
      </c>
      <c r="C270" s="163">
        <f t="shared" si="71"/>
        <v>-7.1260476360860485</v>
      </c>
      <c r="D270" s="96"/>
      <c r="E270" s="96"/>
      <c r="F270" s="96"/>
      <c r="G270" s="96"/>
      <c r="H270" s="96"/>
      <c r="I270" s="96"/>
      <c r="J270" s="96"/>
      <c r="K270" s="96"/>
      <c r="L270" s="96"/>
      <c r="M270" s="96"/>
      <c r="N270" s="96"/>
      <c r="O270" s="96"/>
      <c r="P270" s="96"/>
      <c r="Q270" s="96"/>
      <c r="R270" s="96"/>
      <c r="S270" s="96"/>
      <c r="T270" s="96"/>
      <c r="U270" s="96"/>
      <c r="V270" s="96"/>
      <c r="W270" s="132"/>
    </row>
    <row r="271" spans="1:23" ht="15" x14ac:dyDescent="0.2">
      <c r="A271" s="114" t="s">
        <v>44</v>
      </c>
      <c r="B271" s="134">
        <f t="shared" si="70"/>
        <v>1.2058355763649206E-3</v>
      </c>
      <c r="C271" s="163">
        <f t="shared" si="71"/>
        <v>-6.7205825279778839</v>
      </c>
      <c r="D271" s="96"/>
      <c r="E271" s="96"/>
      <c r="F271" s="96"/>
      <c r="G271" s="96"/>
      <c r="H271" s="96"/>
      <c r="I271" s="96"/>
      <c r="J271" s="96"/>
      <c r="K271" s="96"/>
      <c r="L271" s="96"/>
      <c r="M271" s="96"/>
      <c r="N271" s="96"/>
      <c r="O271" s="96"/>
      <c r="P271" s="96"/>
      <c r="Q271" s="96"/>
      <c r="R271" s="96"/>
      <c r="S271" s="96"/>
      <c r="T271" s="96"/>
      <c r="U271" s="96"/>
      <c r="V271" s="96"/>
      <c r="W271" s="132"/>
    </row>
    <row r="272" spans="1:23" ht="15" x14ac:dyDescent="0.2">
      <c r="A272" s="114" t="s">
        <v>45</v>
      </c>
      <c r="B272" s="134">
        <f t="shared" si="70"/>
        <v>2.1184954311389095E-3</v>
      </c>
      <c r="C272" s="163">
        <f t="shared" si="71"/>
        <v>-6.1570491445490729</v>
      </c>
      <c r="D272" s="96"/>
      <c r="E272" s="96"/>
      <c r="F272" s="96"/>
      <c r="G272" s="96"/>
      <c r="H272" s="96"/>
      <c r="I272" s="96"/>
      <c r="J272" s="96"/>
      <c r="K272" s="96"/>
      <c r="L272" s="96"/>
      <c r="M272" s="96"/>
      <c r="N272" s="96"/>
      <c r="O272" s="96"/>
      <c r="P272" s="96"/>
      <c r="Q272" s="96"/>
      <c r="R272" s="96"/>
      <c r="S272" s="96"/>
      <c r="T272" s="96"/>
      <c r="U272" s="96"/>
      <c r="V272" s="96"/>
      <c r="W272" s="136"/>
    </row>
    <row r="273" spans="1:23" ht="15" x14ac:dyDescent="0.2">
      <c r="A273" s="114" t="s">
        <v>46</v>
      </c>
      <c r="B273" s="134">
        <f t="shared" si="70"/>
        <v>4.2369908622778172E-3</v>
      </c>
      <c r="C273" s="163">
        <f t="shared" si="71"/>
        <v>-5.4639019639891275</v>
      </c>
      <c r="D273" s="96"/>
      <c r="E273" s="96"/>
      <c r="F273" s="96"/>
      <c r="G273" s="96"/>
      <c r="H273" s="96"/>
      <c r="I273" s="96"/>
      <c r="J273" s="96"/>
      <c r="K273" s="96"/>
      <c r="L273" s="96"/>
      <c r="M273" s="96"/>
      <c r="N273" s="96"/>
      <c r="O273" s="96"/>
      <c r="P273" s="96"/>
      <c r="Q273" s="96"/>
      <c r="R273" s="96"/>
      <c r="S273" s="96"/>
      <c r="T273" s="96"/>
      <c r="U273" s="96"/>
      <c r="V273" s="96"/>
      <c r="W273" s="136"/>
    </row>
    <row r="274" spans="1:23" ht="15" x14ac:dyDescent="0.2">
      <c r="A274" s="114" t="s">
        <v>47</v>
      </c>
      <c r="B274" s="134">
        <f t="shared" si="70"/>
        <v>4.9929533486152752E-3</v>
      </c>
      <c r="C274" s="163">
        <f t="shared" si="71"/>
        <v>-5.2997276908649598</v>
      </c>
      <c r="D274" s="96"/>
      <c r="E274" s="96"/>
      <c r="F274" s="96"/>
      <c r="G274" s="96"/>
      <c r="H274" s="96"/>
      <c r="I274" s="96"/>
      <c r="J274" s="96"/>
      <c r="K274" s="96"/>
      <c r="L274" s="96"/>
      <c r="M274" s="96"/>
      <c r="N274" s="96"/>
      <c r="O274" s="96"/>
      <c r="P274" s="96"/>
      <c r="Q274" s="96"/>
      <c r="R274" s="96"/>
      <c r="S274" s="96"/>
      <c r="T274" s="96"/>
      <c r="U274" s="96"/>
      <c r="V274" s="96"/>
      <c r="W274" s="137"/>
    </row>
    <row r="275" spans="1:23" ht="15" x14ac:dyDescent="0.2">
      <c r="A275" s="114" t="s">
        <v>48</v>
      </c>
      <c r="B275" s="134">
        <f t="shared" si="70"/>
        <v>6.6572711314870333E-3</v>
      </c>
      <c r="C275" s="163">
        <f t="shared" si="71"/>
        <v>-5.012045618413179</v>
      </c>
      <c r="D275" s="96"/>
      <c r="E275" s="96"/>
      <c r="F275" s="96"/>
      <c r="G275" s="96"/>
      <c r="H275" s="96"/>
      <c r="I275" s="96"/>
      <c r="J275" s="96"/>
      <c r="K275" s="96"/>
      <c r="L275" s="96"/>
      <c r="M275" s="96"/>
      <c r="N275" s="96"/>
      <c r="O275" s="96"/>
      <c r="P275" s="96"/>
      <c r="Q275" s="96"/>
      <c r="R275" s="96"/>
      <c r="S275" s="96"/>
      <c r="T275" s="96"/>
      <c r="U275" s="96"/>
      <c r="V275" s="96"/>
      <c r="W275" s="137"/>
    </row>
    <row r="276" spans="1:23" ht="15" x14ac:dyDescent="0.2">
      <c r="A276" s="114" t="s">
        <v>49</v>
      </c>
      <c r="B276" s="134">
        <f t="shared" si="70"/>
        <v>9.9859066972305503E-3</v>
      </c>
      <c r="C276" s="163">
        <f t="shared" si="71"/>
        <v>-4.6065805103050144</v>
      </c>
      <c r="D276" s="96"/>
      <c r="E276" s="96"/>
      <c r="F276" s="96"/>
      <c r="G276" s="96"/>
      <c r="H276" s="96"/>
      <c r="I276" s="96"/>
      <c r="J276" s="96"/>
      <c r="K276" s="96"/>
      <c r="L276" s="96"/>
      <c r="M276" s="96"/>
      <c r="N276" s="96"/>
      <c r="O276" s="96"/>
      <c r="P276" s="96"/>
      <c r="Q276" s="96"/>
      <c r="R276" s="96"/>
      <c r="S276" s="96"/>
      <c r="T276" s="96"/>
      <c r="U276" s="96"/>
      <c r="V276" s="96"/>
      <c r="W276" s="132"/>
    </row>
    <row r="277" spans="1:23" ht="15" x14ac:dyDescent="0.2">
      <c r="A277" s="114" t="s">
        <v>50</v>
      </c>
      <c r="B277" s="134">
        <f t="shared" si="70"/>
        <v>1.6938961102141131E-2</v>
      </c>
      <c r="C277" s="163">
        <f t="shared" si="71"/>
        <v>-4.0781389197297155</v>
      </c>
      <c r="D277" s="96"/>
      <c r="E277" s="96"/>
      <c r="F277" s="96"/>
      <c r="G277" s="96"/>
      <c r="H277" s="96"/>
      <c r="I277" s="96"/>
      <c r="J277" s="96"/>
      <c r="K277" s="96"/>
      <c r="L277" s="96"/>
      <c r="M277" s="96"/>
      <c r="N277" s="96"/>
      <c r="O277" s="96"/>
      <c r="P277" s="96"/>
      <c r="Q277" s="96"/>
      <c r="R277" s="96"/>
      <c r="S277" s="96"/>
      <c r="T277" s="96"/>
      <c r="U277" s="96"/>
      <c r="V277" s="96"/>
      <c r="W277" s="64"/>
    </row>
    <row r="278" spans="1:23" ht="16.5" thickBot="1" x14ac:dyDescent="0.3">
      <c r="A278" s="138"/>
      <c r="B278" s="139"/>
      <c r="C278" s="93"/>
      <c r="D278" s="96"/>
      <c r="E278" s="96"/>
      <c r="F278" s="96"/>
      <c r="G278" s="96"/>
      <c r="H278" s="96"/>
      <c r="I278" s="96"/>
      <c r="J278" s="96"/>
      <c r="K278" s="96"/>
      <c r="L278" s="96"/>
      <c r="M278" s="96"/>
      <c r="N278" s="96"/>
      <c r="O278" s="96"/>
      <c r="P278" s="96"/>
      <c r="Q278" s="96"/>
      <c r="R278" s="96"/>
      <c r="S278" s="96"/>
      <c r="T278" s="96"/>
      <c r="U278" s="96"/>
      <c r="V278" s="96"/>
      <c r="W278" s="36"/>
    </row>
    <row r="279" spans="1:23" ht="16.5" thickBot="1" x14ac:dyDescent="0.3">
      <c r="A279" s="138"/>
      <c r="B279" s="139"/>
      <c r="C279" s="93"/>
      <c r="D279" s="96"/>
      <c r="E279" s="96"/>
      <c r="F279" s="96"/>
      <c r="G279" s="96"/>
      <c r="H279" s="96"/>
      <c r="I279" s="96"/>
      <c r="J279" s="96" t="str">
        <f>"ln(cost) =" &amp;L279 &amp; "ln(SOQ)+ " &amp; N279</f>
        <v>ln(cost) =-0.73ln(SOQ)+ 5.87</v>
      </c>
      <c r="K279" s="96"/>
      <c r="L279" s="158">
        <f>ROUND(SLOPE(C259:C277,E$179:E$197),2)</f>
        <v>-0.73</v>
      </c>
      <c r="M279" s="122"/>
      <c r="N279" s="157">
        <f>ROUND(INTERCEPT(C259:C277,E$179:E$197),2)</f>
        <v>5.87</v>
      </c>
      <c r="O279" s="96"/>
      <c r="P279" s="96"/>
      <c r="Q279" s="96"/>
      <c r="R279" s="96"/>
      <c r="S279" s="96"/>
      <c r="T279" s="96"/>
      <c r="U279" s="96"/>
      <c r="V279" s="96"/>
      <c r="W279" s="36"/>
    </row>
    <row r="280" spans="1:23" ht="16.5" thickBot="1" x14ac:dyDescent="0.3">
      <c r="A280" s="138"/>
      <c r="B280" s="139"/>
      <c r="C280" s="93"/>
      <c r="D280" s="96"/>
      <c r="E280" s="96"/>
      <c r="F280" s="96"/>
      <c r="G280" s="96"/>
      <c r="H280" s="96"/>
      <c r="I280" s="96"/>
      <c r="J280" s="100" t="str">
        <f>"Cost =SOQ^" &amp; L279 &amp; " * e^" &amp; N279</f>
        <v>Cost =SOQ^-0.73 * e^5.87</v>
      </c>
      <c r="K280" s="100"/>
      <c r="L280" s="156"/>
      <c r="N280" s="100"/>
      <c r="O280" s="96"/>
      <c r="P280" s="96"/>
      <c r="Q280" s="96"/>
      <c r="R280" s="96"/>
      <c r="S280" s="96"/>
      <c r="T280" s="96"/>
      <c r="U280" s="96"/>
      <c r="V280" s="96"/>
      <c r="W280" s="36"/>
    </row>
    <row r="281" spans="1:23" ht="16.5" thickBot="1" x14ac:dyDescent="0.3">
      <c r="A281" s="138"/>
      <c r="B281" s="139"/>
      <c r="C281" s="93"/>
      <c r="D281" s="96"/>
      <c r="E281" s="96"/>
      <c r="F281" s="96"/>
      <c r="G281" s="96"/>
      <c r="H281" s="96"/>
      <c r="I281" s="96"/>
      <c r="J281" s="99" t="str">
        <f>"Cost =SOQ^"&amp;L279&amp;" *" &amp; L281</f>
        <v>Cost =SOQ^-0.73 *354.25</v>
      </c>
      <c r="K281" s="100"/>
      <c r="L281" s="124">
        <f>ROUND(EXP(N279),2)</f>
        <v>354.25</v>
      </c>
      <c r="M281" s="125" t="s">
        <v>67</v>
      </c>
      <c r="O281" s="96"/>
      <c r="P281" s="96"/>
      <c r="Q281" s="96"/>
      <c r="R281" s="96"/>
      <c r="S281" s="96"/>
      <c r="T281" s="96"/>
      <c r="U281" s="96"/>
      <c r="V281" s="96"/>
      <c r="W281" s="36"/>
    </row>
    <row r="282" spans="1:23" x14ac:dyDescent="0.25">
      <c r="A282" s="138"/>
      <c r="B282" s="139"/>
      <c r="C282" s="93"/>
      <c r="D282" s="96"/>
      <c r="E282" s="96"/>
      <c r="F282" s="96"/>
      <c r="G282" s="96"/>
      <c r="H282" s="96"/>
      <c r="I282" s="96"/>
      <c r="J282" s="127"/>
      <c r="K282" s="96"/>
      <c r="L282" s="96"/>
      <c r="M282" s="96"/>
      <c r="O282" s="96"/>
      <c r="P282" s="96"/>
      <c r="Q282" s="96"/>
      <c r="R282" s="96"/>
      <c r="S282" s="96"/>
      <c r="T282" s="96"/>
      <c r="U282" s="96"/>
      <c r="V282" s="96"/>
      <c r="W282" s="3"/>
    </row>
    <row r="283" spans="1:23" x14ac:dyDescent="0.25">
      <c r="A283" s="138"/>
      <c r="B283" s="139"/>
      <c r="C283" s="93"/>
      <c r="D283" s="96"/>
      <c r="E283" s="96"/>
      <c r="F283" s="96"/>
      <c r="G283" s="96"/>
      <c r="H283" s="96"/>
      <c r="I283" s="96"/>
      <c r="J283" s="96"/>
      <c r="K283" s="96"/>
      <c r="L283" s="96"/>
      <c r="M283" s="96"/>
      <c r="N283" s="96"/>
      <c r="O283" s="96"/>
      <c r="P283" s="96"/>
      <c r="Q283" s="96"/>
      <c r="R283" s="96"/>
      <c r="S283" s="96"/>
      <c r="T283" s="96"/>
      <c r="U283" s="96"/>
      <c r="V283" s="96"/>
      <c r="W283" s="3"/>
    </row>
    <row r="284" spans="1:23" x14ac:dyDescent="0.25">
      <c r="A284" s="138"/>
      <c r="B284" s="139"/>
      <c r="C284" s="93"/>
      <c r="D284" s="96"/>
      <c r="E284" s="96"/>
      <c r="F284" s="96"/>
      <c r="G284" s="96"/>
      <c r="H284" s="96"/>
      <c r="I284" s="96"/>
      <c r="J284" s="96"/>
      <c r="K284" s="96"/>
      <c r="L284" s="96"/>
      <c r="M284" s="96"/>
      <c r="N284" s="96"/>
      <c r="O284" s="96"/>
      <c r="P284" s="96"/>
      <c r="Q284" s="96"/>
      <c r="R284" s="96"/>
      <c r="S284" s="96"/>
      <c r="T284" s="96"/>
      <c r="U284" s="96"/>
      <c r="V284" s="96"/>
      <c r="W284" s="3"/>
    </row>
    <row r="285" spans="1:23" x14ac:dyDescent="0.25">
      <c r="A285" s="138"/>
      <c r="B285" s="139"/>
      <c r="C285" s="93"/>
      <c r="D285" s="96"/>
      <c r="E285" s="96"/>
      <c r="F285" s="96"/>
      <c r="G285" s="96"/>
      <c r="H285" s="96"/>
      <c r="I285" s="96"/>
      <c r="J285" s="96"/>
      <c r="K285" s="96"/>
      <c r="L285" s="96"/>
      <c r="M285" s="96"/>
      <c r="N285" s="96"/>
      <c r="O285" s="96"/>
      <c r="P285" s="96"/>
      <c r="Q285" s="96"/>
      <c r="R285" s="96"/>
      <c r="S285" s="96"/>
      <c r="T285" s="96"/>
      <c r="U285" s="96"/>
      <c r="V285" s="96"/>
      <c r="W285" s="3"/>
    </row>
    <row r="286" spans="1:23" x14ac:dyDescent="0.25">
      <c r="A286" s="138"/>
      <c r="B286" s="139"/>
      <c r="C286" s="93"/>
      <c r="D286" s="96"/>
      <c r="E286" s="96"/>
      <c r="F286" s="96"/>
      <c r="G286" s="96"/>
      <c r="H286" s="96"/>
      <c r="I286" s="96"/>
      <c r="J286" s="96"/>
      <c r="K286" s="96"/>
      <c r="L286" s="96"/>
      <c r="M286" s="96"/>
      <c r="N286" s="96"/>
      <c r="O286" s="96"/>
      <c r="P286" s="96"/>
      <c r="Q286" s="96"/>
      <c r="R286" s="96"/>
      <c r="S286" s="96"/>
      <c r="T286" s="96"/>
      <c r="U286" s="96"/>
      <c r="V286" s="96"/>
      <c r="W286" s="3"/>
    </row>
    <row r="287" spans="1:23" x14ac:dyDescent="0.25">
      <c r="A287" s="138"/>
      <c r="B287" s="139"/>
      <c r="C287" s="93"/>
      <c r="D287" s="96"/>
      <c r="E287" s="96"/>
      <c r="F287" s="96"/>
      <c r="G287" s="96"/>
      <c r="H287" s="96"/>
      <c r="I287" s="96"/>
      <c r="J287" s="96"/>
      <c r="K287" s="96"/>
      <c r="L287" s="96"/>
      <c r="M287" s="96"/>
      <c r="N287" s="96"/>
      <c r="O287" s="96"/>
      <c r="P287" s="96"/>
      <c r="Q287" s="96"/>
      <c r="R287" s="96"/>
      <c r="S287" s="96"/>
      <c r="T287" s="96"/>
      <c r="U287" s="96"/>
      <c r="V287" s="96"/>
      <c r="W287" s="3"/>
    </row>
    <row r="288" spans="1:23" x14ac:dyDescent="0.25">
      <c r="A288" s="138"/>
      <c r="B288" s="139"/>
      <c r="C288" s="93"/>
      <c r="D288" s="96"/>
      <c r="E288" s="96"/>
      <c r="F288" s="96"/>
      <c r="G288" s="96"/>
      <c r="H288" s="96"/>
      <c r="I288" s="96"/>
      <c r="J288" s="96"/>
      <c r="K288" s="96"/>
      <c r="L288" s="96"/>
      <c r="M288" s="96"/>
      <c r="N288" s="96"/>
      <c r="O288" s="96"/>
      <c r="P288" s="96"/>
      <c r="Q288" s="96"/>
      <c r="R288" s="96"/>
      <c r="S288" s="96"/>
      <c r="T288" s="96"/>
      <c r="U288" s="96"/>
      <c r="V288" s="96"/>
      <c r="W288" s="3"/>
    </row>
    <row r="289" spans="1:23" x14ac:dyDescent="0.25">
      <c r="A289" s="1" t="s">
        <v>68</v>
      </c>
      <c r="B289" s="139"/>
      <c r="C289" s="93"/>
      <c r="D289" s="96"/>
      <c r="E289" s="96"/>
      <c r="F289" s="96"/>
      <c r="G289" s="96"/>
      <c r="H289" s="96"/>
      <c r="I289" s="96"/>
      <c r="J289" s="96"/>
      <c r="K289" s="96"/>
      <c r="L289" s="96"/>
      <c r="M289" s="96"/>
      <c r="N289" s="96"/>
      <c r="O289" s="96"/>
      <c r="P289" s="96"/>
      <c r="Q289" s="96"/>
      <c r="R289" s="96"/>
      <c r="S289" s="96"/>
      <c r="T289" s="96"/>
      <c r="U289" s="96"/>
      <c r="V289" s="96"/>
      <c r="W289" s="3"/>
    </row>
    <row r="290" spans="1:23" x14ac:dyDescent="0.25">
      <c r="A290" s="138"/>
      <c r="B290" s="139"/>
      <c r="J290" s="96"/>
      <c r="K290" s="96"/>
      <c r="L290" s="96"/>
      <c r="M290" s="96"/>
      <c r="N290" s="96"/>
      <c r="O290" s="96"/>
      <c r="P290" s="96"/>
      <c r="Q290" s="96"/>
      <c r="R290" s="96"/>
      <c r="S290" s="96"/>
      <c r="T290" s="96"/>
      <c r="U290" s="96"/>
      <c r="V290" s="96"/>
      <c r="W290" s="3"/>
    </row>
    <row r="291" spans="1:23" ht="16.5" thickBot="1" x14ac:dyDescent="0.3">
      <c r="A291" s="138"/>
      <c r="B291" s="139"/>
      <c r="J291" s="96"/>
      <c r="K291" s="96"/>
      <c r="L291" s="96"/>
      <c r="M291" s="96"/>
      <c r="N291" s="96"/>
      <c r="O291" s="96"/>
      <c r="P291" s="96"/>
      <c r="Q291" s="96"/>
      <c r="R291" s="96"/>
      <c r="S291" s="96"/>
      <c r="T291" s="96"/>
      <c r="U291" s="96"/>
      <c r="V291" s="96"/>
      <c r="W291" s="3"/>
    </row>
    <row r="292" spans="1:23" x14ac:dyDescent="0.25">
      <c r="A292" s="138"/>
      <c r="B292" s="139"/>
      <c r="E292" s="140"/>
      <c r="F292" s="141"/>
      <c r="G292" s="141"/>
      <c r="H292" s="141"/>
      <c r="I292" s="141"/>
      <c r="J292" s="141"/>
      <c r="K292" s="141"/>
      <c r="L292" s="142"/>
      <c r="M292" s="96"/>
      <c r="N292" s="96"/>
      <c r="O292" s="96"/>
      <c r="P292" s="96"/>
      <c r="S292" s="96"/>
      <c r="T292" s="96"/>
      <c r="U292" s="96"/>
      <c r="V292" s="96"/>
      <c r="W292" s="3"/>
    </row>
    <row r="293" spans="1:23" x14ac:dyDescent="0.25">
      <c r="A293" s="4"/>
      <c r="E293" s="143"/>
      <c r="F293" s="132"/>
      <c r="G293" s="132"/>
      <c r="H293" s="132"/>
      <c r="I293" s="132"/>
      <c r="J293" s="132"/>
      <c r="K293" s="132"/>
      <c r="L293" s="144"/>
      <c r="M293" s="96"/>
      <c r="S293" s="96"/>
      <c r="T293" s="96"/>
      <c r="U293" s="96"/>
      <c r="V293" s="96"/>
      <c r="W293" s="3"/>
    </row>
    <row r="294" spans="1:23" x14ac:dyDescent="0.25">
      <c r="A294" s="4"/>
      <c r="E294" s="143"/>
      <c r="F294" s="132"/>
      <c r="G294" s="132"/>
      <c r="H294" s="132"/>
      <c r="I294" s="132"/>
      <c r="J294" s="132"/>
      <c r="K294" s="132"/>
      <c r="L294" s="144"/>
      <c r="M294" s="96"/>
      <c r="S294" s="96"/>
      <c r="T294" s="96"/>
      <c r="U294" s="96"/>
      <c r="V294" s="96"/>
      <c r="W294" s="3"/>
    </row>
    <row r="295" spans="1:23" ht="34.5" x14ac:dyDescent="0.45">
      <c r="A295" s="4"/>
      <c r="E295" s="62"/>
      <c r="F295" s="145" t="str">
        <f xml:space="preserve"> L281 &amp; "*[(SOQ)" &amp;L279 &amp; "] *D+" &amp;L253 &amp; "*(SOQ)" &amp;L251</f>
        <v>354.25*[(SOQ)-0.73] *D+735.1*(SOQ)-0.7</v>
      </c>
      <c r="G295" s="146"/>
      <c r="H295" s="146"/>
      <c r="I295" s="132"/>
      <c r="J295" s="132"/>
      <c r="K295" s="132"/>
      <c r="L295" s="144"/>
      <c r="M295" s="96"/>
      <c r="Q295" s="96"/>
      <c r="R295" s="96"/>
      <c r="S295" s="96"/>
      <c r="T295" s="96"/>
      <c r="U295" s="96"/>
      <c r="V295" s="96"/>
      <c r="W295" s="3"/>
    </row>
    <row r="296" spans="1:23" ht="34.5" x14ac:dyDescent="0.45">
      <c r="A296" s="4"/>
      <c r="E296" s="62"/>
      <c r="F296" s="146"/>
      <c r="G296" s="146"/>
      <c r="H296" s="146"/>
      <c r="I296" s="132"/>
      <c r="J296" s="132"/>
      <c r="K296" s="132"/>
      <c r="L296" s="144"/>
      <c r="M296" s="96"/>
      <c r="N296" s="96"/>
      <c r="O296" s="96"/>
      <c r="P296" s="96"/>
      <c r="Q296" s="96"/>
      <c r="R296" s="96"/>
      <c r="S296" s="96"/>
      <c r="T296" s="96"/>
      <c r="U296" s="96"/>
      <c r="V296" s="96"/>
      <c r="W296" s="97"/>
    </row>
    <row r="297" spans="1:23" ht="15" x14ac:dyDescent="0.2">
      <c r="A297" s="4"/>
      <c r="E297" s="62"/>
      <c r="F297" s="132"/>
      <c r="G297" s="132"/>
      <c r="H297" s="132"/>
      <c r="I297" s="132"/>
      <c r="J297" s="132"/>
      <c r="K297" s="132"/>
      <c r="L297" s="144"/>
      <c r="M297" s="96"/>
      <c r="N297" s="96"/>
      <c r="O297" s="96"/>
      <c r="P297" s="96"/>
      <c r="Q297" s="96"/>
      <c r="R297" s="96"/>
      <c r="S297" s="96"/>
      <c r="T297" s="96"/>
      <c r="U297" s="96"/>
      <c r="V297" s="96"/>
      <c r="W297" s="96"/>
    </row>
    <row r="298" spans="1:23" ht="15" x14ac:dyDescent="0.2">
      <c r="A298" s="4"/>
      <c r="D298" s="96"/>
      <c r="E298" s="62"/>
      <c r="F298" s="132"/>
      <c r="G298" s="132"/>
      <c r="H298" s="132"/>
      <c r="I298" s="132"/>
      <c r="J298" s="132"/>
      <c r="K298" s="132"/>
      <c r="L298" s="144"/>
      <c r="M298" s="96"/>
      <c r="N298" s="96"/>
      <c r="O298" s="96"/>
      <c r="P298" s="96"/>
    </row>
    <row r="299" spans="1:23" thickBot="1" x14ac:dyDescent="0.25">
      <c r="A299" s="4"/>
      <c r="E299" s="147"/>
      <c r="F299" s="148"/>
      <c r="G299" s="148"/>
      <c r="H299" s="148"/>
      <c r="I299" s="148"/>
      <c r="J299" s="148"/>
      <c r="K299" s="148"/>
      <c r="L299" s="87"/>
    </row>
    <row r="301" spans="1:23" ht="15" x14ac:dyDescent="0.2">
      <c r="A301" s="4"/>
      <c r="F301" s="78"/>
      <c r="G301" s="78"/>
    </row>
    <row r="302" spans="1:23" ht="15" x14ac:dyDescent="0.2">
      <c r="A302" s="4"/>
      <c r="F302" s="78"/>
      <c r="G302" s="78"/>
    </row>
    <row r="303" spans="1:23" ht="15" x14ac:dyDescent="0.2">
      <c r="A303" s="4"/>
      <c r="F303" s="78"/>
      <c r="G303" s="78"/>
    </row>
    <row r="304" spans="1:23" ht="15" x14ac:dyDescent="0.2">
      <c r="A304" s="4"/>
      <c r="E304" s="10"/>
      <c r="F304" s="78"/>
      <c r="G304" s="78"/>
    </row>
    <row r="305" spans="1:7" ht="15" x14ac:dyDescent="0.2">
      <c r="A305" s="4"/>
      <c r="E305" s="10"/>
      <c r="F305" s="78"/>
      <c r="G305" s="78"/>
    </row>
    <row r="306" spans="1:7" ht="15" x14ac:dyDescent="0.2">
      <c r="A306" s="4"/>
      <c r="F306" s="78"/>
      <c r="G306" s="78"/>
    </row>
    <row r="307" spans="1:7" x14ac:dyDescent="0.25">
      <c r="A307" s="4"/>
      <c r="B307" s="149"/>
      <c r="C307" s="35"/>
      <c r="G307" s="78"/>
    </row>
    <row r="308" spans="1:7" ht="15" x14ac:dyDescent="0.2">
      <c r="A308" s="4"/>
      <c r="C308" s="150"/>
      <c r="F308" s="78"/>
      <c r="G308" s="78"/>
    </row>
    <row r="309" spans="1:7" ht="15" x14ac:dyDescent="0.2">
      <c r="A309" s="4"/>
      <c r="F309" s="78"/>
      <c r="G309" s="78"/>
    </row>
    <row r="312" spans="1:7" x14ac:dyDescent="0.25">
      <c r="F312" s="10"/>
      <c r="G312" s="10"/>
    </row>
    <row r="317" spans="1:7" x14ac:dyDescent="0.25">
      <c r="F317" s="10"/>
      <c r="G317" s="10"/>
    </row>
  </sheetData>
  <mergeCells count="2">
    <mergeCell ref="D55:E55"/>
    <mergeCell ref="B79:C7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55"/>
  <sheetViews>
    <sheetView topLeftCell="A532" workbookViewId="0">
      <selection activeCell="D554" sqref="D554"/>
    </sheetView>
  </sheetViews>
  <sheetFormatPr defaultRowHeight="15" x14ac:dyDescent="0.25"/>
  <cols>
    <col min="1" max="1" width="16" bestFit="1" customWidth="1"/>
    <col min="5" max="5" width="9.85546875" customWidth="1"/>
  </cols>
  <sheetData>
    <row r="1" spans="1:7" x14ac:dyDescent="0.25">
      <c r="A1" s="151" t="s">
        <v>69</v>
      </c>
      <c r="B1" s="151" t="s">
        <v>70</v>
      </c>
      <c r="F1" t="s">
        <v>635</v>
      </c>
      <c r="G1" s="159" t="s">
        <v>636</v>
      </c>
    </row>
    <row r="2" spans="1:7" x14ac:dyDescent="0.25">
      <c r="A2" s="151" t="s">
        <v>71</v>
      </c>
      <c r="B2" s="151" t="s">
        <v>72</v>
      </c>
    </row>
    <row r="3" spans="1:7" x14ac:dyDescent="0.25">
      <c r="A3" s="151" t="s">
        <v>73</v>
      </c>
      <c r="B3" s="151" t="s">
        <v>74</v>
      </c>
    </row>
    <row r="4" spans="1:7" x14ac:dyDescent="0.25">
      <c r="A4" s="151" t="s">
        <v>75</v>
      </c>
      <c r="B4" s="151" t="s">
        <v>76</v>
      </c>
    </row>
    <row r="5" spans="1:7" x14ac:dyDescent="0.25">
      <c r="A5" s="151" t="s">
        <v>77</v>
      </c>
      <c r="B5" s="151" t="s">
        <v>78</v>
      </c>
    </row>
    <row r="6" spans="1:7" x14ac:dyDescent="0.25">
      <c r="A6" s="151" t="s">
        <v>79</v>
      </c>
      <c r="B6" s="151" t="s">
        <v>80</v>
      </c>
    </row>
    <row r="7" spans="1:7" x14ac:dyDescent="0.25">
      <c r="A7" s="151" t="s">
        <v>81</v>
      </c>
      <c r="B7" s="151" t="s">
        <v>82</v>
      </c>
    </row>
    <row r="8" spans="1:7" x14ac:dyDescent="0.25">
      <c r="A8" s="151" t="s">
        <v>83</v>
      </c>
      <c r="B8" s="151"/>
    </row>
    <row r="9" spans="1:7" x14ac:dyDescent="0.25">
      <c r="A9" s="151" t="s">
        <v>84</v>
      </c>
      <c r="B9" s="152">
        <v>101.9</v>
      </c>
    </row>
    <row r="10" spans="1:7" x14ac:dyDescent="0.25">
      <c r="A10" s="151" t="s">
        <v>85</v>
      </c>
      <c r="B10" s="152">
        <v>106.9</v>
      </c>
    </row>
    <row r="11" spans="1:7" x14ac:dyDescent="0.25">
      <c r="A11" s="151" t="s">
        <v>86</v>
      </c>
      <c r="B11" s="152">
        <v>115.2</v>
      </c>
    </row>
    <row r="12" spans="1:7" x14ac:dyDescent="0.25">
      <c r="A12" s="151" t="s">
        <v>87</v>
      </c>
      <c r="B12" s="152">
        <v>126.1</v>
      </c>
    </row>
    <row r="13" spans="1:7" x14ac:dyDescent="0.25">
      <c r="A13" s="151" t="s">
        <v>88</v>
      </c>
      <c r="B13" s="152">
        <v>133.5</v>
      </c>
    </row>
    <row r="14" spans="1:7" x14ac:dyDescent="0.25">
      <c r="A14" s="151" t="s">
        <v>89</v>
      </c>
      <c r="B14" s="152">
        <v>138.5</v>
      </c>
    </row>
    <row r="15" spans="1:7" x14ac:dyDescent="0.25">
      <c r="A15" s="151" t="s">
        <v>90</v>
      </c>
      <c r="B15" s="152">
        <v>140.69999999999999</v>
      </c>
    </row>
    <row r="16" spans="1:7" x14ac:dyDescent="0.25">
      <c r="A16" s="151" t="s">
        <v>91</v>
      </c>
      <c r="B16" s="152">
        <v>144.1</v>
      </c>
    </row>
    <row r="17" spans="1:2" x14ac:dyDescent="0.25">
      <c r="A17" s="151" t="s">
        <v>92</v>
      </c>
      <c r="B17" s="152">
        <v>149.1</v>
      </c>
    </row>
    <row r="18" spans="1:2" x14ac:dyDescent="0.25">
      <c r="A18" s="151" t="s">
        <v>93</v>
      </c>
      <c r="B18" s="152">
        <v>152.69999999999999</v>
      </c>
    </row>
    <row r="19" spans="1:2" x14ac:dyDescent="0.25">
      <c r="A19" s="151" t="s">
        <v>94</v>
      </c>
      <c r="B19" s="152">
        <v>157.5</v>
      </c>
    </row>
    <row r="20" spans="1:2" x14ac:dyDescent="0.25">
      <c r="A20" s="151" t="s">
        <v>95</v>
      </c>
      <c r="B20" s="152">
        <v>162.9</v>
      </c>
    </row>
    <row r="21" spans="1:2" x14ac:dyDescent="0.25">
      <c r="A21" s="151" t="s">
        <v>96</v>
      </c>
      <c r="B21" s="152">
        <v>165.4</v>
      </c>
    </row>
    <row r="22" spans="1:2" x14ac:dyDescent="0.25">
      <c r="A22" s="151" t="s">
        <v>97</v>
      </c>
      <c r="B22" s="152">
        <v>170.3</v>
      </c>
    </row>
    <row r="23" spans="1:2" x14ac:dyDescent="0.25">
      <c r="A23" s="151" t="s">
        <v>98</v>
      </c>
      <c r="B23" s="152">
        <v>173.3</v>
      </c>
    </row>
    <row r="24" spans="1:2" x14ac:dyDescent="0.25">
      <c r="A24" s="151" t="s">
        <v>99</v>
      </c>
      <c r="B24" s="152">
        <v>176.2</v>
      </c>
    </row>
    <row r="25" spans="1:2" x14ac:dyDescent="0.25">
      <c r="A25" s="151" t="s">
        <v>100</v>
      </c>
      <c r="B25" s="152">
        <v>181.3</v>
      </c>
    </row>
    <row r="26" spans="1:2" x14ac:dyDescent="0.25">
      <c r="A26" s="151" t="s">
        <v>101</v>
      </c>
      <c r="B26" s="152">
        <v>186.7</v>
      </c>
    </row>
    <row r="27" spans="1:2" x14ac:dyDescent="0.25">
      <c r="A27" s="151" t="s">
        <v>102</v>
      </c>
      <c r="B27" s="152">
        <v>192</v>
      </c>
    </row>
    <row r="28" spans="1:2" x14ac:dyDescent="0.25">
      <c r="A28" s="151" t="s">
        <v>103</v>
      </c>
      <c r="B28" s="152">
        <v>198.1</v>
      </c>
    </row>
    <row r="29" spans="1:2" x14ac:dyDescent="0.25">
      <c r="A29" s="151" t="s">
        <v>104</v>
      </c>
      <c r="B29" s="152">
        <v>206.6</v>
      </c>
    </row>
    <row r="30" spans="1:2" x14ac:dyDescent="0.25">
      <c r="A30" s="151" t="s">
        <v>105</v>
      </c>
      <c r="B30" s="152">
        <v>214.8</v>
      </c>
    </row>
    <row r="31" spans="1:2" x14ac:dyDescent="0.25">
      <c r="A31" s="151" t="s">
        <v>106</v>
      </c>
      <c r="B31" s="152">
        <v>213.7</v>
      </c>
    </row>
    <row r="32" spans="1:2" x14ac:dyDescent="0.25">
      <c r="A32" s="151" t="s">
        <v>107</v>
      </c>
      <c r="B32" s="152">
        <v>223.6</v>
      </c>
    </row>
    <row r="33" spans="1:2" x14ac:dyDescent="0.25">
      <c r="A33" s="151" t="s">
        <v>108</v>
      </c>
      <c r="B33" s="152">
        <v>235.2</v>
      </c>
    </row>
    <row r="34" spans="1:2" x14ac:dyDescent="0.25">
      <c r="A34" s="151" t="s">
        <v>109</v>
      </c>
      <c r="B34" s="152">
        <v>242.7</v>
      </c>
    </row>
    <row r="35" spans="1:2" x14ac:dyDescent="0.25">
      <c r="A35" s="151" t="s">
        <v>110</v>
      </c>
      <c r="B35" s="152">
        <v>250.1</v>
      </c>
    </row>
    <row r="36" spans="1:2" x14ac:dyDescent="0.25">
      <c r="A36" s="151" t="s">
        <v>111</v>
      </c>
      <c r="B36" s="152">
        <v>256</v>
      </c>
    </row>
    <row r="37" spans="1:2" x14ac:dyDescent="0.25">
      <c r="A37" s="151" t="s">
        <v>112</v>
      </c>
      <c r="B37" s="152">
        <v>258.5</v>
      </c>
    </row>
    <row r="38" spans="1:2" x14ac:dyDescent="0.25">
      <c r="A38" s="151" t="s">
        <v>113</v>
      </c>
      <c r="B38" s="152">
        <v>263.10000000000002</v>
      </c>
    </row>
    <row r="39" spans="1:2" x14ac:dyDescent="0.25">
      <c r="A39" s="151" t="s">
        <v>114</v>
      </c>
      <c r="B39" s="152">
        <v>272.5</v>
      </c>
    </row>
    <row r="40" spans="1:2" x14ac:dyDescent="0.25">
      <c r="A40" s="151" t="s">
        <v>115</v>
      </c>
      <c r="B40" s="152">
        <v>281.60000000000002</v>
      </c>
    </row>
    <row r="41" spans="1:2" x14ac:dyDescent="0.25">
      <c r="A41" s="151" t="s">
        <v>116</v>
      </c>
      <c r="B41" s="152">
        <v>100.3</v>
      </c>
    </row>
    <row r="42" spans="1:2" x14ac:dyDescent="0.25">
      <c r="A42" s="151" t="s">
        <v>117</v>
      </c>
      <c r="B42" s="152">
        <v>101.9</v>
      </c>
    </row>
    <row r="43" spans="1:2" x14ac:dyDescent="0.25">
      <c r="A43" s="151" t="s">
        <v>118</v>
      </c>
      <c r="B43" s="152">
        <v>102.1</v>
      </c>
    </row>
    <row r="44" spans="1:2" x14ac:dyDescent="0.25">
      <c r="A44" s="151" t="s">
        <v>119</v>
      </c>
      <c r="B44" s="152">
        <v>103.2</v>
      </c>
    </row>
    <row r="45" spans="1:2" x14ac:dyDescent="0.25">
      <c r="A45" s="151" t="s">
        <v>120</v>
      </c>
      <c r="B45" s="152">
        <v>103.7</v>
      </c>
    </row>
    <row r="46" spans="1:2" x14ac:dyDescent="0.25">
      <c r="A46" s="151" t="s">
        <v>121</v>
      </c>
      <c r="B46" s="152">
        <v>106.2</v>
      </c>
    </row>
    <row r="47" spans="1:2" x14ac:dyDescent="0.25">
      <c r="A47" s="151" t="s">
        <v>122</v>
      </c>
      <c r="B47" s="152">
        <v>107.7</v>
      </c>
    </row>
    <row r="48" spans="1:2" x14ac:dyDescent="0.25">
      <c r="A48" s="151" t="s">
        <v>123</v>
      </c>
      <c r="B48" s="152">
        <v>109.9</v>
      </c>
    </row>
    <row r="49" spans="1:2" x14ac:dyDescent="0.25">
      <c r="A49" s="151" t="s">
        <v>124</v>
      </c>
      <c r="B49" s="152">
        <v>111.7</v>
      </c>
    </row>
    <row r="50" spans="1:2" x14ac:dyDescent="0.25">
      <c r="A50" s="151" t="s">
        <v>125</v>
      </c>
      <c r="B50" s="152">
        <v>114.9</v>
      </c>
    </row>
    <row r="51" spans="1:2" x14ac:dyDescent="0.25">
      <c r="A51" s="151" t="s">
        <v>126</v>
      </c>
      <c r="B51" s="152">
        <v>116</v>
      </c>
    </row>
    <row r="52" spans="1:2" x14ac:dyDescent="0.25">
      <c r="A52" s="151" t="s">
        <v>127</v>
      </c>
      <c r="B52" s="152">
        <v>118.3</v>
      </c>
    </row>
    <row r="53" spans="1:2" x14ac:dyDescent="0.25">
      <c r="A53" s="151" t="s">
        <v>128</v>
      </c>
      <c r="B53" s="152">
        <v>120.4</v>
      </c>
    </row>
    <row r="54" spans="1:2" x14ac:dyDescent="0.25">
      <c r="A54" s="151" t="s">
        <v>129</v>
      </c>
      <c r="B54" s="152">
        <v>126</v>
      </c>
    </row>
    <row r="55" spans="1:2" x14ac:dyDescent="0.25">
      <c r="A55" s="151" t="s">
        <v>130</v>
      </c>
      <c r="B55" s="152">
        <v>128.1</v>
      </c>
    </row>
    <row r="56" spans="1:2" x14ac:dyDescent="0.25">
      <c r="A56" s="151" t="s">
        <v>131</v>
      </c>
      <c r="B56" s="152">
        <v>130.1</v>
      </c>
    </row>
    <row r="57" spans="1:2" x14ac:dyDescent="0.25">
      <c r="A57" s="151" t="s">
        <v>132</v>
      </c>
      <c r="B57" s="152">
        <v>130.80000000000001</v>
      </c>
    </row>
    <row r="58" spans="1:2" x14ac:dyDescent="0.25">
      <c r="A58" s="151" t="s">
        <v>133</v>
      </c>
      <c r="B58" s="152">
        <v>133.6</v>
      </c>
    </row>
    <row r="59" spans="1:2" x14ac:dyDescent="0.25">
      <c r="A59" s="151" t="s">
        <v>134</v>
      </c>
      <c r="B59" s="152">
        <v>134.19999999999999</v>
      </c>
    </row>
    <row r="60" spans="1:2" x14ac:dyDescent="0.25">
      <c r="A60" s="151" t="s">
        <v>135</v>
      </c>
      <c r="B60" s="152">
        <v>135.5</v>
      </c>
    </row>
    <row r="61" spans="1:2" x14ac:dyDescent="0.25">
      <c r="A61" s="151" t="s">
        <v>136</v>
      </c>
      <c r="B61" s="152">
        <v>136.19999999999999</v>
      </c>
    </row>
    <row r="62" spans="1:2" x14ac:dyDescent="0.25">
      <c r="A62" s="151" t="s">
        <v>137</v>
      </c>
      <c r="B62" s="152">
        <v>139.1</v>
      </c>
    </row>
    <row r="63" spans="1:2" x14ac:dyDescent="0.25">
      <c r="A63" s="151" t="s">
        <v>138</v>
      </c>
      <c r="B63" s="152">
        <v>139</v>
      </c>
    </row>
    <row r="64" spans="1:2" x14ac:dyDescent="0.25">
      <c r="A64" s="151" t="s">
        <v>139</v>
      </c>
      <c r="B64" s="152">
        <v>139.6</v>
      </c>
    </row>
    <row r="65" spans="1:2" x14ac:dyDescent="0.25">
      <c r="A65" s="151" t="s">
        <v>140</v>
      </c>
      <c r="B65" s="152">
        <v>138.69999999999999</v>
      </c>
    </row>
    <row r="66" spans="1:2" x14ac:dyDescent="0.25">
      <c r="A66" s="151" t="s">
        <v>141</v>
      </c>
      <c r="B66" s="152">
        <v>140.9</v>
      </c>
    </row>
    <row r="67" spans="1:2" x14ac:dyDescent="0.25">
      <c r="A67" s="151" t="s">
        <v>142</v>
      </c>
      <c r="B67" s="152">
        <v>141.30000000000001</v>
      </c>
    </row>
    <row r="68" spans="1:2" x14ac:dyDescent="0.25">
      <c r="A68" s="151" t="s">
        <v>143</v>
      </c>
      <c r="B68" s="152">
        <v>141.80000000000001</v>
      </c>
    </row>
    <row r="69" spans="1:2" x14ac:dyDescent="0.25">
      <c r="A69" s="151" t="s">
        <v>144</v>
      </c>
      <c r="B69" s="152">
        <v>142</v>
      </c>
    </row>
    <row r="70" spans="1:2" x14ac:dyDescent="0.25">
      <c r="A70" s="151" t="s">
        <v>145</v>
      </c>
      <c r="B70" s="152">
        <v>144.5</v>
      </c>
    </row>
    <row r="71" spans="1:2" x14ac:dyDescent="0.25">
      <c r="A71" s="151" t="s">
        <v>146</v>
      </c>
      <c r="B71" s="152">
        <v>144.6</v>
      </c>
    </row>
    <row r="72" spans="1:2" x14ac:dyDescent="0.25">
      <c r="A72" s="151" t="s">
        <v>147</v>
      </c>
      <c r="B72" s="152">
        <v>145.5</v>
      </c>
    </row>
    <row r="73" spans="1:2" x14ac:dyDescent="0.25">
      <c r="A73" s="151" t="s">
        <v>148</v>
      </c>
      <c r="B73" s="152">
        <v>146.80000000000001</v>
      </c>
    </row>
    <row r="74" spans="1:2" x14ac:dyDescent="0.25">
      <c r="A74" s="151" t="s">
        <v>149</v>
      </c>
      <c r="B74" s="152">
        <v>149.5</v>
      </c>
    </row>
    <row r="75" spans="1:2" x14ac:dyDescent="0.25">
      <c r="A75" s="151" t="s">
        <v>150</v>
      </c>
      <c r="B75" s="152">
        <v>149.9</v>
      </c>
    </row>
    <row r="76" spans="1:2" x14ac:dyDescent="0.25">
      <c r="A76" s="151" t="s">
        <v>151</v>
      </c>
      <c r="B76" s="152">
        <v>150.1</v>
      </c>
    </row>
    <row r="77" spans="1:2" x14ac:dyDescent="0.25">
      <c r="A77" s="151" t="s">
        <v>152</v>
      </c>
      <c r="B77" s="152">
        <v>150.9</v>
      </c>
    </row>
    <row r="78" spans="1:2" x14ac:dyDescent="0.25">
      <c r="A78" s="151" t="s">
        <v>153</v>
      </c>
      <c r="B78" s="152">
        <v>152.80000000000001</v>
      </c>
    </row>
    <row r="79" spans="1:2" x14ac:dyDescent="0.25">
      <c r="A79" s="151" t="s">
        <v>154</v>
      </c>
      <c r="B79" s="152">
        <v>153.1</v>
      </c>
    </row>
    <row r="80" spans="1:2" x14ac:dyDescent="0.25">
      <c r="A80" s="151" t="s">
        <v>155</v>
      </c>
      <c r="B80" s="152">
        <v>154</v>
      </c>
    </row>
    <row r="81" spans="1:2" x14ac:dyDescent="0.25">
      <c r="A81" s="151" t="s">
        <v>156</v>
      </c>
      <c r="B81" s="152">
        <v>154.9</v>
      </c>
    </row>
    <row r="82" spans="1:2" x14ac:dyDescent="0.25">
      <c r="A82" s="151" t="s">
        <v>157</v>
      </c>
      <c r="B82" s="152">
        <v>156.9</v>
      </c>
    </row>
    <row r="83" spans="1:2" x14ac:dyDescent="0.25">
      <c r="A83" s="151" t="s">
        <v>158</v>
      </c>
      <c r="B83" s="152">
        <v>158.4</v>
      </c>
    </row>
    <row r="84" spans="1:2" x14ac:dyDescent="0.25">
      <c r="A84" s="151" t="s">
        <v>159</v>
      </c>
      <c r="B84" s="152">
        <v>159.69999999999999</v>
      </c>
    </row>
    <row r="85" spans="1:2" x14ac:dyDescent="0.25">
      <c r="A85" s="151" t="s">
        <v>160</v>
      </c>
      <c r="B85" s="152">
        <v>160.19999999999999</v>
      </c>
    </row>
    <row r="86" spans="1:2" x14ac:dyDescent="0.25">
      <c r="A86" s="151" t="s">
        <v>161</v>
      </c>
      <c r="B86" s="152">
        <v>163.19999999999999</v>
      </c>
    </row>
    <row r="87" spans="1:2" x14ac:dyDescent="0.25">
      <c r="A87" s="151" t="s">
        <v>162</v>
      </c>
      <c r="B87" s="152">
        <v>163.69999999999999</v>
      </c>
    </row>
    <row r="88" spans="1:2" x14ac:dyDescent="0.25">
      <c r="A88" s="151" t="s">
        <v>163</v>
      </c>
      <c r="B88" s="152">
        <v>164.4</v>
      </c>
    </row>
    <row r="89" spans="1:2" x14ac:dyDescent="0.25">
      <c r="A89" s="151" t="s">
        <v>164</v>
      </c>
      <c r="B89" s="152">
        <v>163.69999999999999</v>
      </c>
    </row>
    <row r="90" spans="1:2" x14ac:dyDescent="0.25">
      <c r="A90" s="151" t="s">
        <v>165</v>
      </c>
      <c r="B90" s="152">
        <v>165.5</v>
      </c>
    </row>
    <row r="91" spans="1:2" x14ac:dyDescent="0.25">
      <c r="A91" s="151" t="s">
        <v>166</v>
      </c>
      <c r="B91" s="152">
        <v>165.6</v>
      </c>
    </row>
    <row r="92" spans="1:2" x14ac:dyDescent="0.25">
      <c r="A92" s="151" t="s">
        <v>167</v>
      </c>
      <c r="B92" s="152">
        <v>166.8</v>
      </c>
    </row>
    <row r="93" spans="1:2" x14ac:dyDescent="0.25">
      <c r="A93" s="151" t="s">
        <v>168</v>
      </c>
      <c r="B93" s="152">
        <v>167.5</v>
      </c>
    </row>
    <row r="94" spans="1:2" x14ac:dyDescent="0.25">
      <c r="A94" s="151" t="s">
        <v>169</v>
      </c>
      <c r="B94" s="152">
        <v>170.6</v>
      </c>
    </row>
    <row r="95" spans="1:2" x14ac:dyDescent="0.25">
      <c r="A95" s="151" t="s">
        <v>170</v>
      </c>
      <c r="B95" s="152">
        <v>170.9</v>
      </c>
    </row>
    <row r="96" spans="1:2" x14ac:dyDescent="0.25">
      <c r="A96" s="151" t="s">
        <v>171</v>
      </c>
      <c r="B96" s="152">
        <v>172</v>
      </c>
    </row>
    <row r="97" spans="1:2" x14ac:dyDescent="0.25">
      <c r="A97" s="151" t="s">
        <v>172</v>
      </c>
      <c r="B97" s="152">
        <v>171.8</v>
      </c>
    </row>
    <row r="98" spans="1:2" x14ac:dyDescent="0.25">
      <c r="A98" s="151" t="s">
        <v>173</v>
      </c>
      <c r="B98" s="152">
        <v>173.9</v>
      </c>
    </row>
    <row r="99" spans="1:2" x14ac:dyDescent="0.25">
      <c r="A99" s="151" t="s">
        <v>174</v>
      </c>
      <c r="B99" s="152">
        <v>174</v>
      </c>
    </row>
    <row r="100" spans="1:2" x14ac:dyDescent="0.25">
      <c r="A100" s="151" t="s">
        <v>175</v>
      </c>
      <c r="B100" s="152">
        <v>173.8</v>
      </c>
    </row>
    <row r="101" spans="1:2" x14ac:dyDescent="0.25">
      <c r="A101" s="151" t="s">
        <v>176</v>
      </c>
      <c r="B101" s="152">
        <v>173.9</v>
      </c>
    </row>
    <row r="102" spans="1:2" x14ac:dyDescent="0.25">
      <c r="A102" s="151" t="s">
        <v>177</v>
      </c>
      <c r="B102" s="152">
        <v>176</v>
      </c>
    </row>
    <row r="103" spans="1:2" x14ac:dyDescent="0.25">
      <c r="A103" s="151" t="s">
        <v>178</v>
      </c>
      <c r="B103" s="152">
        <v>176.6</v>
      </c>
    </row>
    <row r="104" spans="1:2" x14ac:dyDescent="0.25">
      <c r="A104" s="151" t="s">
        <v>179</v>
      </c>
      <c r="B104" s="152">
        <v>178.2</v>
      </c>
    </row>
    <row r="105" spans="1:2" x14ac:dyDescent="0.25">
      <c r="A105" s="151" t="s">
        <v>180</v>
      </c>
      <c r="B105" s="152">
        <v>179.2</v>
      </c>
    </row>
    <row r="106" spans="1:2" x14ac:dyDescent="0.25">
      <c r="A106" s="151" t="s">
        <v>181</v>
      </c>
      <c r="B106" s="152">
        <v>181.3</v>
      </c>
    </row>
    <row r="107" spans="1:2" x14ac:dyDescent="0.25">
      <c r="A107" s="151" t="s">
        <v>182</v>
      </c>
      <c r="B107" s="152">
        <v>181.8</v>
      </c>
    </row>
    <row r="108" spans="1:2" x14ac:dyDescent="0.25">
      <c r="A108" s="151" t="s">
        <v>183</v>
      </c>
      <c r="B108" s="152">
        <v>182.9</v>
      </c>
    </row>
    <row r="109" spans="1:2" x14ac:dyDescent="0.25">
      <c r="A109" s="151" t="s">
        <v>184</v>
      </c>
      <c r="B109" s="152">
        <v>183.8</v>
      </c>
    </row>
    <row r="110" spans="1:2" x14ac:dyDescent="0.25">
      <c r="A110" s="151" t="s">
        <v>185</v>
      </c>
      <c r="B110" s="152">
        <v>186.3</v>
      </c>
    </row>
    <row r="111" spans="1:2" x14ac:dyDescent="0.25">
      <c r="A111" s="151" t="s">
        <v>186</v>
      </c>
      <c r="B111" s="152">
        <v>187.4</v>
      </c>
    </row>
    <row r="112" spans="1:2" x14ac:dyDescent="0.25">
      <c r="A112" s="151" t="s">
        <v>187</v>
      </c>
      <c r="B112" s="152">
        <v>189.2</v>
      </c>
    </row>
    <row r="113" spans="1:2" x14ac:dyDescent="0.25">
      <c r="A113" s="151" t="s">
        <v>188</v>
      </c>
      <c r="B113" s="152">
        <v>189.7</v>
      </c>
    </row>
    <row r="114" spans="1:2" x14ac:dyDescent="0.25">
      <c r="A114" s="151" t="s">
        <v>189</v>
      </c>
      <c r="B114" s="152">
        <v>191.9</v>
      </c>
    </row>
    <row r="115" spans="1:2" x14ac:dyDescent="0.25">
      <c r="A115" s="151" t="s">
        <v>190</v>
      </c>
      <c r="B115" s="152">
        <v>192.6</v>
      </c>
    </row>
    <row r="116" spans="1:2" x14ac:dyDescent="0.25">
      <c r="A116" s="151" t="s">
        <v>191</v>
      </c>
      <c r="B116" s="152">
        <v>193.7</v>
      </c>
    </row>
    <row r="117" spans="1:2" x14ac:dyDescent="0.25">
      <c r="A117" s="151" t="s">
        <v>192</v>
      </c>
      <c r="B117" s="152">
        <v>194.2</v>
      </c>
    </row>
    <row r="118" spans="1:2" x14ac:dyDescent="0.25">
      <c r="A118" s="151" t="s">
        <v>193</v>
      </c>
      <c r="B118" s="152">
        <v>197.6</v>
      </c>
    </row>
    <row r="119" spans="1:2" x14ac:dyDescent="0.25">
      <c r="A119" s="151" t="s">
        <v>194</v>
      </c>
      <c r="B119" s="152">
        <v>199.3</v>
      </c>
    </row>
    <row r="120" spans="1:2" x14ac:dyDescent="0.25">
      <c r="A120" s="151" t="s">
        <v>195</v>
      </c>
      <c r="B120" s="152">
        <v>201.4</v>
      </c>
    </row>
    <row r="121" spans="1:2" x14ac:dyDescent="0.25">
      <c r="A121" s="151" t="s">
        <v>196</v>
      </c>
      <c r="B121" s="152">
        <v>203</v>
      </c>
    </row>
    <row r="122" spans="1:2" x14ac:dyDescent="0.25">
      <c r="A122" s="151" t="s">
        <v>197</v>
      </c>
      <c r="B122" s="152">
        <v>206.3</v>
      </c>
    </row>
    <row r="123" spans="1:2" x14ac:dyDescent="0.25">
      <c r="A123" s="151" t="s">
        <v>198</v>
      </c>
      <c r="B123" s="152">
        <v>207.1</v>
      </c>
    </row>
    <row r="124" spans="1:2" x14ac:dyDescent="0.25">
      <c r="A124" s="151" t="s">
        <v>199</v>
      </c>
      <c r="B124" s="152">
        <v>209.8</v>
      </c>
    </row>
    <row r="125" spans="1:2" x14ac:dyDescent="0.25">
      <c r="A125" s="151" t="s">
        <v>200</v>
      </c>
      <c r="B125" s="152">
        <v>211.1</v>
      </c>
    </row>
    <row r="126" spans="1:2" x14ac:dyDescent="0.25">
      <c r="A126" s="151" t="s">
        <v>201</v>
      </c>
      <c r="B126" s="152">
        <v>215.3</v>
      </c>
    </row>
    <row r="127" spans="1:2" x14ac:dyDescent="0.25">
      <c r="A127" s="151" t="s">
        <v>202</v>
      </c>
      <c r="B127" s="152">
        <v>217.4</v>
      </c>
    </row>
    <row r="128" spans="1:2" x14ac:dyDescent="0.25">
      <c r="A128" s="151" t="s">
        <v>203</v>
      </c>
      <c r="B128" s="152">
        <v>215.5</v>
      </c>
    </row>
    <row r="129" spans="1:2" x14ac:dyDescent="0.25">
      <c r="A129" s="151" t="s">
        <v>204</v>
      </c>
      <c r="B129" s="152">
        <v>210.9</v>
      </c>
    </row>
    <row r="130" spans="1:2" x14ac:dyDescent="0.25">
      <c r="A130" s="151" t="s">
        <v>205</v>
      </c>
      <c r="B130" s="152">
        <v>212.6</v>
      </c>
    </row>
    <row r="131" spans="1:2" x14ac:dyDescent="0.25">
      <c r="A131" s="151" t="s">
        <v>206</v>
      </c>
      <c r="B131" s="152">
        <v>214.4</v>
      </c>
    </row>
    <row r="132" spans="1:2" x14ac:dyDescent="0.25">
      <c r="A132" s="151" t="s">
        <v>207</v>
      </c>
      <c r="B132" s="152">
        <v>216.9</v>
      </c>
    </row>
    <row r="133" spans="1:2" x14ac:dyDescent="0.25">
      <c r="A133" s="151" t="s">
        <v>208</v>
      </c>
      <c r="B133" s="152">
        <v>219.3</v>
      </c>
    </row>
    <row r="134" spans="1:2" x14ac:dyDescent="0.25">
      <c r="A134" s="151" t="s">
        <v>209</v>
      </c>
      <c r="B134" s="152">
        <v>223.5</v>
      </c>
    </row>
    <row r="135" spans="1:2" x14ac:dyDescent="0.25">
      <c r="A135" s="151" t="s">
        <v>210</v>
      </c>
      <c r="B135" s="152">
        <v>224.5</v>
      </c>
    </row>
    <row r="136" spans="1:2" x14ac:dyDescent="0.25">
      <c r="A136" s="151" t="s">
        <v>211</v>
      </c>
      <c r="B136" s="152">
        <v>227</v>
      </c>
    </row>
    <row r="137" spans="1:2" x14ac:dyDescent="0.25">
      <c r="A137" s="151" t="s">
        <v>212</v>
      </c>
      <c r="B137" s="152">
        <v>230.9</v>
      </c>
    </row>
    <row r="138" spans="1:2" x14ac:dyDescent="0.25">
      <c r="A138" s="151" t="s">
        <v>213</v>
      </c>
      <c r="B138" s="152">
        <v>234.9</v>
      </c>
    </row>
    <row r="139" spans="1:2" x14ac:dyDescent="0.25">
      <c r="A139" s="151" t="s">
        <v>214</v>
      </c>
      <c r="B139" s="152">
        <v>236.2</v>
      </c>
    </row>
    <row r="140" spans="1:2" x14ac:dyDescent="0.25">
      <c r="A140" s="151" t="s">
        <v>215</v>
      </c>
      <c r="B140" s="152">
        <v>238.6</v>
      </c>
    </row>
    <row r="141" spans="1:2" x14ac:dyDescent="0.25">
      <c r="A141" s="151" t="s">
        <v>216</v>
      </c>
      <c r="B141" s="152">
        <v>239.6</v>
      </c>
    </row>
    <row r="142" spans="1:2" x14ac:dyDescent="0.25">
      <c r="A142" s="151" t="s">
        <v>217</v>
      </c>
      <c r="B142" s="152">
        <v>242.2</v>
      </c>
    </row>
    <row r="143" spans="1:2" x14ac:dyDescent="0.25">
      <c r="A143" s="151" t="s">
        <v>218</v>
      </c>
      <c r="B143" s="152">
        <v>243.1</v>
      </c>
    </row>
    <row r="144" spans="1:2" x14ac:dyDescent="0.25">
      <c r="A144" s="151" t="s">
        <v>219</v>
      </c>
      <c r="B144" s="152">
        <v>246</v>
      </c>
    </row>
    <row r="145" spans="1:2" x14ac:dyDescent="0.25">
      <c r="A145" s="151" t="s">
        <v>220</v>
      </c>
      <c r="B145" s="152">
        <v>247.4</v>
      </c>
    </row>
    <row r="146" spans="1:2" x14ac:dyDescent="0.25">
      <c r="A146" s="151" t="s">
        <v>221</v>
      </c>
      <c r="B146" s="152">
        <v>249.7</v>
      </c>
    </row>
    <row r="147" spans="1:2" x14ac:dyDescent="0.25">
      <c r="A147" s="151" t="s">
        <v>222</v>
      </c>
      <c r="B147" s="152">
        <v>250.9</v>
      </c>
    </row>
    <row r="148" spans="1:2" x14ac:dyDescent="0.25">
      <c r="A148" s="151" t="s">
        <v>223</v>
      </c>
      <c r="B148" s="152">
        <v>252.5</v>
      </c>
    </row>
    <row r="149" spans="1:2" x14ac:dyDescent="0.25">
      <c r="A149" s="151" t="s">
        <v>224</v>
      </c>
      <c r="B149" s="152">
        <v>253.9</v>
      </c>
    </row>
    <row r="150" spans="1:2" x14ac:dyDescent="0.25">
      <c r="A150" s="151" t="s">
        <v>225</v>
      </c>
      <c r="B150" s="152">
        <v>256</v>
      </c>
    </row>
    <row r="151" spans="1:2" x14ac:dyDescent="0.25">
      <c r="A151" s="151" t="s">
        <v>226</v>
      </c>
      <c r="B151" s="152">
        <v>256.89999999999998</v>
      </c>
    </row>
    <row r="152" spans="1:2" x14ac:dyDescent="0.25">
      <c r="A152" s="151" t="s">
        <v>227</v>
      </c>
      <c r="B152" s="152">
        <v>257.39999999999998</v>
      </c>
    </row>
    <row r="153" spans="1:2" x14ac:dyDescent="0.25">
      <c r="A153" s="151" t="s">
        <v>228</v>
      </c>
      <c r="B153" s="152">
        <v>256.39999999999998</v>
      </c>
    </row>
    <row r="154" spans="1:2" x14ac:dyDescent="0.25">
      <c r="A154" s="151" t="s">
        <v>229</v>
      </c>
      <c r="B154" s="152">
        <v>258.5</v>
      </c>
    </row>
    <row r="155" spans="1:2" x14ac:dyDescent="0.25">
      <c r="A155" s="151" t="s">
        <v>230</v>
      </c>
      <c r="B155" s="152">
        <v>259.3</v>
      </c>
    </row>
    <row r="156" spans="1:2" x14ac:dyDescent="0.25">
      <c r="A156" s="151" t="s">
        <v>231</v>
      </c>
      <c r="B156" s="152">
        <v>260</v>
      </c>
    </row>
    <row r="157" spans="1:2" x14ac:dyDescent="0.25">
      <c r="A157" s="151" t="s">
        <v>232</v>
      </c>
      <c r="B157" s="152">
        <v>260</v>
      </c>
    </row>
    <row r="158" spans="1:2" x14ac:dyDescent="0.25">
      <c r="A158" s="151" t="s">
        <v>233</v>
      </c>
      <c r="B158" s="152">
        <v>262.2</v>
      </c>
    </row>
    <row r="159" spans="1:2" x14ac:dyDescent="0.25">
      <c r="A159" s="151" t="s">
        <v>234</v>
      </c>
      <c r="B159" s="152">
        <v>264.2</v>
      </c>
    </row>
    <row r="160" spans="1:2" x14ac:dyDescent="0.25">
      <c r="A160" s="151" t="s">
        <v>235</v>
      </c>
      <c r="B160" s="152">
        <v>265.8</v>
      </c>
    </row>
    <row r="161" spans="1:2" x14ac:dyDescent="0.25">
      <c r="A161" s="151" t="s">
        <v>236</v>
      </c>
      <c r="B161" s="152">
        <v>267.7</v>
      </c>
    </row>
    <row r="162" spans="1:2" x14ac:dyDescent="0.25">
      <c r="A162" s="151" t="s">
        <v>237</v>
      </c>
      <c r="B162" s="152">
        <v>271.5</v>
      </c>
    </row>
    <row r="163" spans="1:2" x14ac:dyDescent="0.25">
      <c r="A163" s="151" t="s">
        <v>238</v>
      </c>
      <c r="B163" s="152">
        <v>274.2</v>
      </c>
    </row>
    <row r="164" spans="1:2" x14ac:dyDescent="0.25">
      <c r="A164" s="151" t="s">
        <v>239</v>
      </c>
      <c r="B164" s="152">
        <v>276.39999999999998</v>
      </c>
    </row>
    <row r="165" spans="1:2" x14ac:dyDescent="0.25">
      <c r="A165" s="151" t="s">
        <v>240</v>
      </c>
      <c r="B165" s="152">
        <v>277.5</v>
      </c>
    </row>
    <row r="166" spans="1:2" x14ac:dyDescent="0.25">
      <c r="A166" s="151" t="s">
        <v>241</v>
      </c>
      <c r="B166" s="152">
        <v>280.60000000000002</v>
      </c>
    </row>
    <row r="167" spans="1:2" x14ac:dyDescent="0.25">
      <c r="A167" s="151" t="s">
        <v>242</v>
      </c>
      <c r="B167" s="152">
        <v>283.3</v>
      </c>
    </row>
    <row r="168" spans="1:2" x14ac:dyDescent="0.25">
      <c r="A168" s="151" t="s">
        <v>243</v>
      </c>
      <c r="B168" s="152">
        <v>284.89999999999998</v>
      </c>
    </row>
    <row r="169" spans="1:2" x14ac:dyDescent="0.25">
      <c r="A169" s="151" t="s">
        <v>244</v>
      </c>
      <c r="B169" s="152">
        <v>100</v>
      </c>
    </row>
    <row r="170" spans="1:2" x14ac:dyDescent="0.25">
      <c r="A170" s="151" t="s">
        <v>245</v>
      </c>
      <c r="B170" s="152">
        <v>100.4</v>
      </c>
    </row>
    <row r="171" spans="1:2" x14ac:dyDescent="0.25">
      <c r="A171" s="151" t="s">
        <v>246</v>
      </c>
      <c r="B171" s="152">
        <v>100.6</v>
      </c>
    </row>
    <row r="172" spans="1:2" x14ac:dyDescent="0.25">
      <c r="A172" s="151" t="s">
        <v>247</v>
      </c>
      <c r="B172" s="152">
        <v>101.8</v>
      </c>
    </row>
    <row r="173" spans="1:2" x14ac:dyDescent="0.25">
      <c r="A173" s="151" t="s">
        <v>248</v>
      </c>
      <c r="B173" s="152">
        <v>101.9</v>
      </c>
    </row>
    <row r="174" spans="1:2" x14ac:dyDescent="0.25">
      <c r="A174" s="151" t="s">
        <v>249</v>
      </c>
      <c r="B174" s="152">
        <v>101.9</v>
      </c>
    </row>
    <row r="175" spans="1:2" x14ac:dyDescent="0.25">
      <c r="A175" s="151" t="s">
        <v>250</v>
      </c>
      <c r="B175" s="152">
        <v>101.8</v>
      </c>
    </row>
    <row r="176" spans="1:2" x14ac:dyDescent="0.25">
      <c r="A176" s="151" t="s">
        <v>251</v>
      </c>
      <c r="B176" s="152">
        <v>102.1</v>
      </c>
    </row>
    <row r="177" spans="1:2" x14ac:dyDescent="0.25">
      <c r="A177" s="151" t="s">
        <v>252</v>
      </c>
      <c r="B177" s="152">
        <v>102.4</v>
      </c>
    </row>
    <row r="178" spans="1:2" x14ac:dyDescent="0.25">
      <c r="A178" s="151" t="s">
        <v>253</v>
      </c>
      <c r="B178" s="152">
        <v>102.9</v>
      </c>
    </row>
    <row r="179" spans="1:2" x14ac:dyDescent="0.25">
      <c r="A179" s="151" t="s">
        <v>254</v>
      </c>
      <c r="B179" s="152">
        <v>103.4</v>
      </c>
    </row>
    <row r="180" spans="1:2" x14ac:dyDescent="0.25">
      <c r="A180" s="151" t="s">
        <v>255</v>
      </c>
      <c r="B180" s="152">
        <v>103.3</v>
      </c>
    </row>
    <row r="181" spans="1:2" x14ac:dyDescent="0.25">
      <c r="A181" s="151" t="s">
        <v>256</v>
      </c>
      <c r="B181" s="152">
        <v>103.3</v>
      </c>
    </row>
    <row r="182" spans="1:2" x14ac:dyDescent="0.25">
      <c r="A182" s="151" t="s">
        <v>257</v>
      </c>
      <c r="B182" s="152">
        <v>103.7</v>
      </c>
    </row>
    <row r="183" spans="1:2" x14ac:dyDescent="0.25">
      <c r="A183" s="151" t="s">
        <v>258</v>
      </c>
      <c r="B183" s="152">
        <v>104.1</v>
      </c>
    </row>
    <row r="184" spans="1:2" x14ac:dyDescent="0.25">
      <c r="A184" s="151" t="s">
        <v>259</v>
      </c>
      <c r="B184" s="152">
        <v>105.8</v>
      </c>
    </row>
    <row r="185" spans="1:2" x14ac:dyDescent="0.25">
      <c r="A185" s="151" t="s">
        <v>260</v>
      </c>
      <c r="B185" s="152">
        <v>106.2</v>
      </c>
    </row>
    <row r="186" spans="1:2" x14ac:dyDescent="0.25">
      <c r="A186" s="151" t="s">
        <v>261</v>
      </c>
      <c r="B186" s="152">
        <v>106.6</v>
      </c>
    </row>
    <row r="187" spans="1:2" x14ac:dyDescent="0.25">
      <c r="A187" s="151" t="s">
        <v>262</v>
      </c>
      <c r="B187" s="152">
        <v>106.7</v>
      </c>
    </row>
    <row r="188" spans="1:2" x14ac:dyDescent="0.25">
      <c r="A188" s="151" t="s">
        <v>263</v>
      </c>
      <c r="B188" s="152">
        <v>107.9</v>
      </c>
    </row>
    <row r="189" spans="1:2" x14ac:dyDescent="0.25">
      <c r="A189" s="151" t="s">
        <v>264</v>
      </c>
      <c r="B189" s="152">
        <v>108.4</v>
      </c>
    </row>
    <row r="190" spans="1:2" x14ac:dyDescent="0.25">
      <c r="A190" s="151" t="s">
        <v>265</v>
      </c>
      <c r="B190" s="152">
        <v>109.5</v>
      </c>
    </row>
    <row r="191" spans="1:2" x14ac:dyDescent="0.25">
      <c r="A191" s="151" t="s">
        <v>266</v>
      </c>
      <c r="B191" s="152">
        <v>110</v>
      </c>
    </row>
    <row r="192" spans="1:2" x14ac:dyDescent="0.25">
      <c r="A192" s="151" t="s">
        <v>267</v>
      </c>
      <c r="B192" s="152">
        <v>110.3</v>
      </c>
    </row>
    <row r="193" spans="1:2" x14ac:dyDescent="0.25">
      <c r="A193" s="151" t="s">
        <v>268</v>
      </c>
      <c r="B193" s="152">
        <v>111</v>
      </c>
    </row>
    <row r="194" spans="1:2" x14ac:dyDescent="0.25">
      <c r="A194" s="151" t="s">
        <v>269</v>
      </c>
      <c r="B194" s="152">
        <v>111.8</v>
      </c>
    </row>
    <row r="195" spans="1:2" x14ac:dyDescent="0.25">
      <c r="A195" s="151" t="s">
        <v>270</v>
      </c>
      <c r="B195" s="152">
        <v>112.3</v>
      </c>
    </row>
    <row r="196" spans="1:2" x14ac:dyDescent="0.25">
      <c r="A196" s="151" t="s">
        <v>271</v>
      </c>
      <c r="B196" s="152">
        <v>114.3</v>
      </c>
    </row>
    <row r="197" spans="1:2" x14ac:dyDescent="0.25">
      <c r="A197" s="151" t="s">
        <v>272</v>
      </c>
      <c r="B197" s="152">
        <v>115</v>
      </c>
    </row>
    <row r="198" spans="1:2" x14ac:dyDescent="0.25">
      <c r="A198" s="151" t="s">
        <v>273</v>
      </c>
      <c r="B198" s="152">
        <v>115.4</v>
      </c>
    </row>
    <row r="199" spans="1:2" x14ac:dyDescent="0.25">
      <c r="A199" s="151" t="s">
        <v>274</v>
      </c>
      <c r="B199" s="152">
        <v>115.5</v>
      </c>
    </row>
    <row r="200" spans="1:2" x14ac:dyDescent="0.25">
      <c r="A200" s="151" t="s">
        <v>275</v>
      </c>
      <c r="B200" s="152">
        <v>115.8</v>
      </c>
    </row>
    <row r="201" spans="1:2" x14ac:dyDescent="0.25">
      <c r="A201" s="151" t="s">
        <v>276</v>
      </c>
      <c r="B201" s="152">
        <v>116.6</v>
      </c>
    </row>
    <row r="202" spans="1:2" x14ac:dyDescent="0.25">
      <c r="A202" s="151" t="s">
        <v>277</v>
      </c>
      <c r="B202" s="152">
        <v>117.5</v>
      </c>
    </row>
    <row r="203" spans="1:2" x14ac:dyDescent="0.25">
      <c r="A203" s="151" t="s">
        <v>278</v>
      </c>
      <c r="B203" s="152">
        <v>118.5</v>
      </c>
    </row>
    <row r="204" spans="1:2" x14ac:dyDescent="0.25">
      <c r="A204" s="151" t="s">
        <v>279</v>
      </c>
      <c r="B204" s="152">
        <v>118.8</v>
      </c>
    </row>
    <row r="205" spans="1:2" x14ac:dyDescent="0.25">
      <c r="A205" s="151" t="s">
        <v>280</v>
      </c>
      <c r="B205" s="152">
        <v>119.5</v>
      </c>
    </row>
    <row r="206" spans="1:2" x14ac:dyDescent="0.25">
      <c r="A206" s="151" t="s">
        <v>281</v>
      </c>
      <c r="B206" s="152">
        <v>120.2</v>
      </c>
    </row>
    <row r="207" spans="1:2" x14ac:dyDescent="0.25">
      <c r="A207" s="151" t="s">
        <v>282</v>
      </c>
      <c r="B207" s="152">
        <v>121.4</v>
      </c>
    </row>
    <row r="208" spans="1:2" x14ac:dyDescent="0.25">
      <c r="A208" s="151" t="s">
        <v>283</v>
      </c>
      <c r="B208" s="152">
        <v>125.1</v>
      </c>
    </row>
    <row r="209" spans="1:2" x14ac:dyDescent="0.25">
      <c r="A209" s="151" t="s">
        <v>284</v>
      </c>
      <c r="B209" s="152">
        <v>126.2</v>
      </c>
    </row>
    <row r="210" spans="1:2" x14ac:dyDescent="0.25">
      <c r="A210" s="151" t="s">
        <v>285</v>
      </c>
      <c r="B210" s="152">
        <v>126.7</v>
      </c>
    </row>
    <row r="211" spans="1:2" x14ac:dyDescent="0.25">
      <c r="A211" s="151" t="s">
        <v>286</v>
      </c>
      <c r="B211" s="152">
        <v>126.8</v>
      </c>
    </row>
    <row r="212" spans="1:2" x14ac:dyDescent="0.25">
      <c r="A212" s="151" t="s">
        <v>287</v>
      </c>
      <c r="B212" s="152">
        <v>128.1</v>
      </c>
    </row>
    <row r="213" spans="1:2" x14ac:dyDescent="0.25">
      <c r="A213" s="151" t="s">
        <v>288</v>
      </c>
      <c r="B213" s="152">
        <v>129.30000000000001</v>
      </c>
    </row>
    <row r="214" spans="1:2" x14ac:dyDescent="0.25">
      <c r="A214" s="151" t="s">
        <v>289</v>
      </c>
      <c r="B214" s="152">
        <v>130.30000000000001</v>
      </c>
    </row>
    <row r="215" spans="1:2" x14ac:dyDescent="0.25">
      <c r="A215" s="151" t="s">
        <v>290</v>
      </c>
      <c r="B215" s="152">
        <v>130</v>
      </c>
    </row>
    <row r="216" spans="1:2" x14ac:dyDescent="0.25">
      <c r="A216" s="151" t="s">
        <v>291</v>
      </c>
      <c r="B216" s="152">
        <v>129.9</v>
      </c>
    </row>
    <row r="217" spans="1:2" x14ac:dyDescent="0.25">
      <c r="A217" s="151" t="s">
        <v>292</v>
      </c>
      <c r="B217" s="152">
        <v>130.19999999999999</v>
      </c>
    </row>
    <row r="218" spans="1:2" x14ac:dyDescent="0.25">
      <c r="A218" s="151" t="s">
        <v>293</v>
      </c>
      <c r="B218" s="152">
        <v>130.9</v>
      </c>
    </row>
    <row r="219" spans="1:2" x14ac:dyDescent="0.25">
      <c r="A219" s="151" t="s">
        <v>294</v>
      </c>
      <c r="B219" s="152">
        <v>131.4</v>
      </c>
    </row>
    <row r="220" spans="1:2" x14ac:dyDescent="0.25">
      <c r="A220" s="151" t="s">
        <v>295</v>
      </c>
      <c r="B220" s="152">
        <v>133.1</v>
      </c>
    </row>
    <row r="221" spans="1:2" x14ac:dyDescent="0.25">
      <c r="A221" s="151" t="s">
        <v>296</v>
      </c>
      <c r="B221" s="152">
        <v>133.5</v>
      </c>
    </row>
    <row r="222" spans="1:2" x14ac:dyDescent="0.25">
      <c r="A222" s="151" t="s">
        <v>297</v>
      </c>
      <c r="B222" s="152">
        <v>134.1</v>
      </c>
    </row>
    <row r="223" spans="1:2" x14ac:dyDescent="0.25">
      <c r="A223" s="151" t="s">
        <v>298</v>
      </c>
      <c r="B223" s="152">
        <v>133.80000000000001</v>
      </c>
    </row>
    <row r="224" spans="1:2" x14ac:dyDescent="0.25">
      <c r="A224" s="151" t="s">
        <v>299</v>
      </c>
      <c r="B224" s="152">
        <v>134.1</v>
      </c>
    </row>
    <row r="225" spans="1:2" x14ac:dyDescent="0.25">
      <c r="A225" s="151" t="s">
        <v>300</v>
      </c>
      <c r="B225" s="152">
        <v>134.6</v>
      </c>
    </row>
    <row r="226" spans="1:2" x14ac:dyDescent="0.25">
      <c r="A226" s="151" t="s">
        <v>301</v>
      </c>
      <c r="B226" s="152">
        <v>135.1</v>
      </c>
    </row>
    <row r="227" spans="1:2" x14ac:dyDescent="0.25">
      <c r="A227" s="151" t="s">
        <v>302</v>
      </c>
      <c r="B227" s="152">
        <v>135.6</v>
      </c>
    </row>
    <row r="228" spans="1:2" x14ac:dyDescent="0.25">
      <c r="A228" s="151" t="s">
        <v>303</v>
      </c>
      <c r="B228" s="152">
        <v>135.69999999999999</v>
      </c>
    </row>
    <row r="229" spans="1:2" x14ac:dyDescent="0.25">
      <c r="A229" s="151" t="s">
        <v>304</v>
      </c>
      <c r="B229" s="152">
        <v>135.6</v>
      </c>
    </row>
    <row r="230" spans="1:2" x14ac:dyDescent="0.25">
      <c r="A230" s="151" t="s">
        <v>305</v>
      </c>
      <c r="B230" s="152">
        <v>136.30000000000001</v>
      </c>
    </row>
    <row r="231" spans="1:2" x14ac:dyDescent="0.25">
      <c r="A231" s="151" t="s">
        <v>306</v>
      </c>
      <c r="B231" s="152">
        <v>136.69999999999999</v>
      </c>
    </row>
    <row r="232" spans="1:2" x14ac:dyDescent="0.25">
      <c r="A232" s="151" t="s">
        <v>307</v>
      </c>
      <c r="B232" s="152">
        <v>138.80000000000001</v>
      </c>
    </row>
    <row r="233" spans="1:2" x14ac:dyDescent="0.25">
      <c r="A233" s="151" t="s">
        <v>308</v>
      </c>
      <c r="B233" s="152">
        <v>139.30000000000001</v>
      </c>
    </row>
    <row r="234" spans="1:2" x14ac:dyDescent="0.25">
      <c r="A234" s="151" t="s">
        <v>309</v>
      </c>
      <c r="B234" s="152">
        <v>139.30000000000001</v>
      </c>
    </row>
    <row r="235" spans="1:2" x14ac:dyDescent="0.25">
      <c r="A235" s="151" t="s">
        <v>310</v>
      </c>
      <c r="B235" s="152">
        <v>138.80000000000001</v>
      </c>
    </row>
    <row r="236" spans="1:2" x14ac:dyDescent="0.25">
      <c r="A236" s="151" t="s">
        <v>311</v>
      </c>
      <c r="B236" s="152">
        <v>138.9</v>
      </c>
    </row>
    <row r="237" spans="1:2" x14ac:dyDescent="0.25">
      <c r="A237" s="151" t="s">
        <v>312</v>
      </c>
      <c r="B237" s="152">
        <v>139.4</v>
      </c>
    </row>
    <row r="238" spans="1:2" x14ac:dyDescent="0.25">
      <c r="A238" s="151" t="s">
        <v>313</v>
      </c>
      <c r="B238" s="152">
        <v>139.9</v>
      </c>
    </row>
    <row r="239" spans="1:2" x14ac:dyDescent="0.25">
      <c r="A239" s="151" t="s">
        <v>314</v>
      </c>
      <c r="B239" s="152">
        <v>139.69999999999999</v>
      </c>
    </row>
    <row r="240" spans="1:2" x14ac:dyDescent="0.25">
      <c r="A240" s="151" t="s">
        <v>315</v>
      </c>
      <c r="B240" s="152">
        <v>139.19999999999999</v>
      </c>
    </row>
    <row r="241" spans="1:2" x14ac:dyDescent="0.25">
      <c r="A241" s="151" t="s">
        <v>316</v>
      </c>
      <c r="B241" s="152">
        <v>137.9</v>
      </c>
    </row>
    <row r="242" spans="1:2" x14ac:dyDescent="0.25">
      <c r="A242" s="151" t="s">
        <v>317</v>
      </c>
      <c r="B242" s="152">
        <v>138.80000000000001</v>
      </c>
    </row>
    <row r="243" spans="1:2" x14ac:dyDescent="0.25">
      <c r="A243" s="151" t="s">
        <v>318</v>
      </c>
      <c r="B243" s="152">
        <v>139.30000000000001</v>
      </c>
    </row>
    <row r="244" spans="1:2" x14ac:dyDescent="0.25">
      <c r="A244" s="151" t="s">
        <v>319</v>
      </c>
      <c r="B244" s="152">
        <v>140.6</v>
      </c>
    </row>
    <row r="245" spans="1:2" x14ac:dyDescent="0.25">
      <c r="A245" s="151" t="s">
        <v>320</v>
      </c>
      <c r="B245" s="152">
        <v>141.1</v>
      </c>
    </row>
    <row r="246" spans="1:2" x14ac:dyDescent="0.25">
      <c r="A246" s="151" t="s">
        <v>321</v>
      </c>
      <c r="B246" s="152">
        <v>141</v>
      </c>
    </row>
    <row r="247" spans="1:2" x14ac:dyDescent="0.25">
      <c r="A247" s="151" t="s">
        <v>322</v>
      </c>
      <c r="B247" s="152">
        <v>140.69999999999999</v>
      </c>
    </row>
    <row r="248" spans="1:2" x14ac:dyDescent="0.25">
      <c r="A248" s="151" t="s">
        <v>323</v>
      </c>
      <c r="B248" s="152">
        <v>141.30000000000001</v>
      </c>
    </row>
    <row r="249" spans="1:2" x14ac:dyDescent="0.25">
      <c r="A249" s="151" t="s">
        <v>324</v>
      </c>
      <c r="B249" s="152">
        <v>141.9</v>
      </c>
    </row>
    <row r="250" spans="1:2" x14ac:dyDescent="0.25">
      <c r="A250" s="151" t="s">
        <v>325</v>
      </c>
      <c r="B250" s="152">
        <v>141.80000000000001</v>
      </c>
    </row>
    <row r="251" spans="1:2" x14ac:dyDescent="0.25">
      <c r="A251" s="151" t="s">
        <v>326</v>
      </c>
      <c r="B251" s="152">
        <v>141.6</v>
      </c>
    </row>
    <row r="252" spans="1:2" x14ac:dyDescent="0.25">
      <c r="A252" s="151" t="s">
        <v>327</v>
      </c>
      <c r="B252" s="152">
        <v>141.9</v>
      </c>
    </row>
    <row r="253" spans="1:2" x14ac:dyDescent="0.25">
      <c r="A253" s="151" t="s">
        <v>328</v>
      </c>
      <c r="B253" s="152">
        <v>141.30000000000001</v>
      </c>
    </row>
    <row r="254" spans="1:2" x14ac:dyDescent="0.25">
      <c r="A254" s="151" t="s">
        <v>329</v>
      </c>
      <c r="B254" s="152">
        <v>142.1</v>
      </c>
    </row>
    <row r="255" spans="1:2" x14ac:dyDescent="0.25">
      <c r="A255" s="151" t="s">
        <v>330</v>
      </c>
      <c r="B255" s="152">
        <v>142.5</v>
      </c>
    </row>
    <row r="256" spans="1:2" x14ac:dyDescent="0.25">
      <c r="A256" s="151" t="s">
        <v>331</v>
      </c>
      <c r="B256" s="152">
        <v>144.19999999999999</v>
      </c>
    </row>
    <row r="257" spans="1:2" x14ac:dyDescent="0.25">
      <c r="A257" s="151" t="s">
        <v>332</v>
      </c>
      <c r="B257" s="152">
        <v>144.69999999999999</v>
      </c>
    </row>
    <row r="258" spans="1:2" x14ac:dyDescent="0.25">
      <c r="A258" s="151" t="s">
        <v>333</v>
      </c>
      <c r="B258" s="152">
        <v>144.69999999999999</v>
      </c>
    </row>
    <row r="259" spans="1:2" x14ac:dyDescent="0.25">
      <c r="A259" s="151" t="s">
        <v>334</v>
      </c>
      <c r="B259" s="152">
        <v>144</v>
      </c>
    </row>
    <row r="260" spans="1:2" x14ac:dyDescent="0.25">
      <c r="A260" s="151" t="s">
        <v>335</v>
      </c>
      <c r="B260" s="152">
        <v>144.69999999999999</v>
      </c>
    </row>
    <row r="261" spans="1:2" x14ac:dyDescent="0.25">
      <c r="A261" s="151" t="s">
        <v>336</v>
      </c>
      <c r="B261" s="152">
        <v>145</v>
      </c>
    </row>
    <row r="262" spans="1:2" x14ac:dyDescent="0.25">
      <c r="A262" s="151" t="s">
        <v>337</v>
      </c>
      <c r="B262" s="152">
        <v>145.19999999999999</v>
      </c>
    </row>
    <row r="263" spans="1:2" x14ac:dyDescent="0.25">
      <c r="A263" s="151" t="s">
        <v>338</v>
      </c>
      <c r="B263" s="152">
        <v>145.30000000000001</v>
      </c>
    </row>
    <row r="264" spans="1:2" x14ac:dyDescent="0.25">
      <c r="A264" s="151" t="s">
        <v>339</v>
      </c>
      <c r="B264" s="152">
        <v>146</v>
      </c>
    </row>
    <row r="265" spans="1:2" x14ac:dyDescent="0.25">
      <c r="A265" s="151" t="s">
        <v>340</v>
      </c>
      <c r="B265" s="152">
        <v>146</v>
      </c>
    </row>
    <row r="266" spans="1:2" x14ac:dyDescent="0.25">
      <c r="A266" s="151" t="s">
        <v>341</v>
      </c>
      <c r="B266" s="152">
        <v>146.9</v>
      </c>
    </row>
    <row r="267" spans="1:2" x14ac:dyDescent="0.25">
      <c r="A267" s="151" t="s">
        <v>342</v>
      </c>
      <c r="B267" s="152">
        <v>147.5</v>
      </c>
    </row>
    <row r="268" spans="1:2" x14ac:dyDescent="0.25">
      <c r="A268" s="151" t="s">
        <v>343</v>
      </c>
      <c r="B268" s="152">
        <v>149</v>
      </c>
    </row>
    <row r="269" spans="1:2" x14ac:dyDescent="0.25">
      <c r="A269" s="151" t="s">
        <v>344</v>
      </c>
      <c r="B269" s="152">
        <v>149.6</v>
      </c>
    </row>
    <row r="270" spans="1:2" x14ac:dyDescent="0.25">
      <c r="A270" s="151" t="s">
        <v>345</v>
      </c>
      <c r="B270" s="152">
        <v>149.80000000000001</v>
      </c>
    </row>
    <row r="271" spans="1:2" x14ac:dyDescent="0.25">
      <c r="A271" s="151" t="s">
        <v>346</v>
      </c>
      <c r="B271" s="152">
        <v>149.1</v>
      </c>
    </row>
    <row r="272" spans="1:2" x14ac:dyDescent="0.25">
      <c r="A272" s="151" t="s">
        <v>347</v>
      </c>
      <c r="B272" s="152">
        <v>149.9</v>
      </c>
    </row>
    <row r="273" spans="1:2" x14ac:dyDescent="0.25">
      <c r="A273" s="151" t="s">
        <v>348</v>
      </c>
      <c r="B273" s="152">
        <v>150.6</v>
      </c>
    </row>
    <row r="274" spans="1:2" x14ac:dyDescent="0.25">
      <c r="A274" s="151" t="s">
        <v>349</v>
      </c>
      <c r="B274" s="152">
        <v>149.80000000000001</v>
      </c>
    </row>
    <row r="275" spans="1:2" x14ac:dyDescent="0.25">
      <c r="A275" s="151" t="s">
        <v>350</v>
      </c>
      <c r="B275" s="152">
        <v>149.80000000000001</v>
      </c>
    </row>
    <row r="276" spans="1:2" x14ac:dyDescent="0.25">
      <c r="A276" s="151" t="s">
        <v>351</v>
      </c>
      <c r="B276" s="152">
        <v>150.69999999999999</v>
      </c>
    </row>
    <row r="277" spans="1:2" x14ac:dyDescent="0.25">
      <c r="A277" s="151" t="s">
        <v>352</v>
      </c>
      <c r="B277" s="152">
        <v>150.19999999999999</v>
      </c>
    </row>
    <row r="278" spans="1:2" x14ac:dyDescent="0.25">
      <c r="A278" s="151" t="s">
        <v>353</v>
      </c>
      <c r="B278" s="152">
        <v>150.9</v>
      </c>
    </row>
    <row r="279" spans="1:2" x14ac:dyDescent="0.25">
      <c r="A279" s="151" t="s">
        <v>354</v>
      </c>
      <c r="B279" s="152">
        <v>151.5</v>
      </c>
    </row>
    <row r="280" spans="1:2" x14ac:dyDescent="0.25">
      <c r="A280" s="151" t="s">
        <v>355</v>
      </c>
      <c r="B280" s="152">
        <v>152.6</v>
      </c>
    </row>
    <row r="281" spans="1:2" x14ac:dyDescent="0.25">
      <c r="A281" s="151" t="s">
        <v>356</v>
      </c>
      <c r="B281" s="152">
        <v>152.9</v>
      </c>
    </row>
    <row r="282" spans="1:2" x14ac:dyDescent="0.25">
      <c r="A282" s="151" t="s">
        <v>357</v>
      </c>
      <c r="B282" s="152">
        <v>153</v>
      </c>
    </row>
    <row r="283" spans="1:2" x14ac:dyDescent="0.25">
      <c r="A283" s="151" t="s">
        <v>358</v>
      </c>
      <c r="B283" s="152">
        <v>152.4</v>
      </c>
    </row>
    <row r="284" spans="1:2" x14ac:dyDescent="0.25">
      <c r="A284" s="151" t="s">
        <v>359</v>
      </c>
      <c r="B284" s="152">
        <v>153.1</v>
      </c>
    </row>
    <row r="285" spans="1:2" x14ac:dyDescent="0.25">
      <c r="A285" s="151" t="s">
        <v>360</v>
      </c>
      <c r="B285" s="152">
        <v>153.80000000000001</v>
      </c>
    </row>
    <row r="286" spans="1:2" x14ac:dyDescent="0.25">
      <c r="A286" s="151" t="s">
        <v>361</v>
      </c>
      <c r="B286" s="152">
        <v>153.80000000000001</v>
      </c>
    </row>
    <row r="287" spans="1:2" x14ac:dyDescent="0.25">
      <c r="A287" s="151" t="s">
        <v>362</v>
      </c>
      <c r="B287" s="152">
        <v>153.9</v>
      </c>
    </row>
    <row r="288" spans="1:2" x14ac:dyDescent="0.25">
      <c r="A288" s="151" t="s">
        <v>363</v>
      </c>
      <c r="B288" s="152">
        <v>154.4</v>
      </c>
    </row>
    <row r="289" spans="1:4" x14ac:dyDescent="0.25">
      <c r="A289" s="151" t="s">
        <v>364</v>
      </c>
      <c r="B289" s="152">
        <v>154.4</v>
      </c>
    </row>
    <row r="290" spans="1:4" x14ac:dyDescent="0.25">
      <c r="A290" s="151" t="s">
        <v>365</v>
      </c>
      <c r="B290" s="152">
        <v>155</v>
      </c>
    </row>
    <row r="291" spans="1:4" x14ac:dyDescent="0.25">
      <c r="A291" s="151" t="s">
        <v>366</v>
      </c>
      <c r="B291" s="152">
        <v>155.4</v>
      </c>
    </row>
    <row r="292" spans="1:4" x14ac:dyDescent="0.25">
      <c r="A292" s="151" t="s">
        <v>367</v>
      </c>
      <c r="B292" s="152">
        <v>156.30000000000001</v>
      </c>
    </row>
    <row r="293" spans="1:4" x14ac:dyDescent="0.25">
      <c r="A293" s="151" t="s">
        <v>368</v>
      </c>
      <c r="B293" s="152">
        <v>156.9</v>
      </c>
    </row>
    <row r="294" spans="1:4" x14ac:dyDescent="0.25">
      <c r="A294" s="151" t="s">
        <v>369</v>
      </c>
      <c r="B294" s="152">
        <v>157.5</v>
      </c>
    </row>
    <row r="295" spans="1:4" x14ac:dyDescent="0.25">
      <c r="A295" s="151" t="s">
        <v>370</v>
      </c>
      <c r="B295" s="152">
        <v>157.5</v>
      </c>
    </row>
    <row r="296" spans="1:4" x14ac:dyDescent="0.25">
      <c r="A296" s="151" t="s">
        <v>371</v>
      </c>
      <c r="B296" s="152">
        <v>158.5</v>
      </c>
    </row>
    <row r="297" spans="1:4" x14ac:dyDescent="0.25">
      <c r="A297" s="151" t="s">
        <v>372</v>
      </c>
      <c r="B297" s="152">
        <v>159.30000000000001</v>
      </c>
    </row>
    <row r="298" spans="1:4" x14ac:dyDescent="0.25">
      <c r="A298" s="151" t="s">
        <v>373</v>
      </c>
      <c r="B298" s="152">
        <v>159.5</v>
      </c>
    </row>
    <row r="299" spans="1:4" x14ac:dyDescent="0.25">
      <c r="A299" s="151" t="s">
        <v>374</v>
      </c>
      <c r="B299" s="152">
        <v>159.6</v>
      </c>
    </row>
    <row r="300" spans="1:4" x14ac:dyDescent="0.25">
      <c r="A300" s="151" t="s">
        <v>375</v>
      </c>
      <c r="B300" s="152">
        <v>160</v>
      </c>
    </row>
    <row r="301" spans="1:4" x14ac:dyDescent="0.25">
      <c r="A301" s="151" t="s">
        <v>376</v>
      </c>
      <c r="B301" s="152">
        <v>159.5</v>
      </c>
    </row>
    <row r="302" spans="1:4" x14ac:dyDescent="0.25">
      <c r="A302" s="151" t="s">
        <v>377</v>
      </c>
      <c r="B302" s="152">
        <v>160.30000000000001</v>
      </c>
    </row>
    <row r="303" spans="1:4" x14ac:dyDescent="0.25">
      <c r="A303" s="151" t="s">
        <v>378</v>
      </c>
      <c r="B303" s="152">
        <v>160.80000000000001</v>
      </c>
    </row>
    <row r="304" spans="1:4" x14ac:dyDescent="0.25">
      <c r="A304" s="151" t="s">
        <v>379</v>
      </c>
      <c r="B304" s="152">
        <v>162.6</v>
      </c>
      <c r="C304" s="153">
        <f>AVERAGE(B304:B315)</f>
        <v>163.75833333333335</v>
      </c>
      <c r="D304" t="s">
        <v>648</v>
      </c>
    </row>
    <row r="305" spans="1:2" x14ac:dyDescent="0.25">
      <c r="A305" s="151" t="s">
        <v>380</v>
      </c>
      <c r="B305" s="152">
        <v>163.5</v>
      </c>
    </row>
    <row r="306" spans="1:2" x14ac:dyDescent="0.25">
      <c r="A306" s="151" t="s">
        <v>381</v>
      </c>
      <c r="B306" s="152">
        <v>163.4</v>
      </c>
    </row>
    <row r="307" spans="1:2" x14ac:dyDescent="0.25">
      <c r="A307" s="151" t="s">
        <v>382</v>
      </c>
      <c r="B307" s="152">
        <v>163</v>
      </c>
    </row>
    <row r="308" spans="1:2" x14ac:dyDescent="0.25">
      <c r="A308" s="151" t="s">
        <v>383</v>
      </c>
      <c r="B308" s="152">
        <v>163.69999999999999</v>
      </c>
    </row>
    <row r="309" spans="1:2" x14ac:dyDescent="0.25">
      <c r="A309" s="151" t="s">
        <v>384</v>
      </c>
      <c r="B309" s="152">
        <v>164.4</v>
      </c>
    </row>
    <row r="310" spans="1:2" x14ac:dyDescent="0.25">
      <c r="A310" s="151" t="s">
        <v>385</v>
      </c>
      <c r="B310" s="152">
        <v>164.5</v>
      </c>
    </row>
    <row r="311" spans="1:2" x14ac:dyDescent="0.25">
      <c r="A311" s="151" t="s">
        <v>386</v>
      </c>
      <c r="B311" s="152">
        <v>164.4</v>
      </c>
    </row>
    <row r="312" spans="1:2" x14ac:dyDescent="0.25">
      <c r="A312" s="151" t="s">
        <v>387</v>
      </c>
      <c r="B312" s="152">
        <v>164.4</v>
      </c>
    </row>
    <row r="313" spans="1:2" x14ac:dyDescent="0.25">
      <c r="A313" s="151" t="s">
        <v>388</v>
      </c>
      <c r="B313" s="152">
        <v>163.4</v>
      </c>
    </row>
    <row r="314" spans="1:2" x14ac:dyDescent="0.25">
      <c r="A314" s="151" t="s">
        <v>389</v>
      </c>
      <c r="B314" s="152">
        <v>163.69999999999999</v>
      </c>
    </row>
    <row r="315" spans="1:2" x14ac:dyDescent="0.25">
      <c r="A315" s="151" t="s">
        <v>390</v>
      </c>
      <c r="B315" s="152">
        <v>164.1</v>
      </c>
    </row>
    <row r="316" spans="1:2" x14ac:dyDescent="0.25">
      <c r="A316" s="151" t="s">
        <v>391</v>
      </c>
      <c r="B316" s="152">
        <v>165.2</v>
      </c>
    </row>
    <row r="317" spans="1:2" x14ac:dyDescent="0.25">
      <c r="A317" s="151" t="s">
        <v>392</v>
      </c>
      <c r="B317" s="152">
        <v>165.6</v>
      </c>
    </row>
    <row r="318" spans="1:2" x14ac:dyDescent="0.25">
      <c r="A318" s="151" t="s">
        <v>393</v>
      </c>
      <c r="B318" s="152">
        <v>165.6</v>
      </c>
    </row>
    <row r="319" spans="1:2" x14ac:dyDescent="0.25">
      <c r="A319" s="151" t="s">
        <v>394</v>
      </c>
      <c r="B319" s="152">
        <v>165.1</v>
      </c>
    </row>
    <row r="320" spans="1:2" x14ac:dyDescent="0.25">
      <c r="A320" s="151" t="s">
        <v>395</v>
      </c>
      <c r="B320" s="152">
        <v>165.5</v>
      </c>
    </row>
    <row r="321" spans="1:2" x14ac:dyDescent="0.25">
      <c r="A321" s="151" t="s">
        <v>396</v>
      </c>
      <c r="B321" s="152">
        <v>166.2</v>
      </c>
    </row>
    <row r="322" spans="1:2" x14ac:dyDescent="0.25">
      <c r="A322" s="151" t="s">
        <v>397</v>
      </c>
      <c r="B322" s="152">
        <v>166.5</v>
      </c>
    </row>
    <row r="323" spans="1:2" x14ac:dyDescent="0.25">
      <c r="A323" s="151" t="s">
        <v>398</v>
      </c>
      <c r="B323" s="152">
        <v>166.7</v>
      </c>
    </row>
    <row r="324" spans="1:2" x14ac:dyDescent="0.25">
      <c r="A324" s="151" t="s">
        <v>399</v>
      </c>
      <c r="B324" s="152">
        <v>167.3</v>
      </c>
    </row>
    <row r="325" spans="1:2" x14ac:dyDescent="0.25">
      <c r="A325" s="151" t="s">
        <v>400</v>
      </c>
      <c r="B325" s="152">
        <v>166.6</v>
      </c>
    </row>
    <row r="326" spans="1:2" x14ac:dyDescent="0.25">
      <c r="A326" s="151" t="s">
        <v>401</v>
      </c>
      <c r="B326" s="152">
        <v>167.5</v>
      </c>
    </row>
    <row r="327" spans="1:2" x14ac:dyDescent="0.25">
      <c r="A327" s="151" t="s">
        <v>402</v>
      </c>
      <c r="B327" s="152">
        <v>168.4</v>
      </c>
    </row>
    <row r="328" spans="1:2" x14ac:dyDescent="0.25">
      <c r="A328" s="151" t="s">
        <v>403</v>
      </c>
      <c r="B328" s="152">
        <v>170.1</v>
      </c>
    </row>
    <row r="329" spans="1:2" x14ac:dyDescent="0.25">
      <c r="A329" s="151" t="s">
        <v>404</v>
      </c>
      <c r="B329" s="152">
        <v>170.7</v>
      </c>
    </row>
    <row r="330" spans="1:2" x14ac:dyDescent="0.25">
      <c r="A330" s="151" t="s">
        <v>405</v>
      </c>
      <c r="B330" s="152">
        <v>171.1</v>
      </c>
    </row>
    <row r="331" spans="1:2" x14ac:dyDescent="0.25">
      <c r="A331" s="151" t="s">
        <v>406</v>
      </c>
      <c r="B331" s="152">
        <v>170.5</v>
      </c>
    </row>
    <row r="332" spans="1:2" x14ac:dyDescent="0.25">
      <c r="A332" s="151" t="s">
        <v>407</v>
      </c>
      <c r="B332" s="152">
        <v>170.5</v>
      </c>
    </row>
    <row r="333" spans="1:2" x14ac:dyDescent="0.25">
      <c r="A333" s="151" t="s">
        <v>408</v>
      </c>
      <c r="B333" s="152">
        <v>171.7</v>
      </c>
    </row>
    <row r="334" spans="1:2" x14ac:dyDescent="0.25">
      <c r="A334" s="151" t="s">
        <v>409</v>
      </c>
      <c r="B334" s="152">
        <v>171.6</v>
      </c>
    </row>
    <row r="335" spans="1:2" x14ac:dyDescent="0.25">
      <c r="A335" s="151" t="s">
        <v>410</v>
      </c>
      <c r="B335" s="152">
        <v>172.1</v>
      </c>
    </row>
    <row r="336" spans="1:2" x14ac:dyDescent="0.25">
      <c r="A336" s="151" t="s">
        <v>411</v>
      </c>
      <c r="B336" s="152">
        <v>172.2</v>
      </c>
    </row>
    <row r="337" spans="1:2" x14ac:dyDescent="0.25">
      <c r="A337" s="151" t="s">
        <v>412</v>
      </c>
      <c r="B337" s="152">
        <v>171.1</v>
      </c>
    </row>
    <row r="338" spans="1:2" x14ac:dyDescent="0.25">
      <c r="A338" s="151" t="s">
        <v>413</v>
      </c>
      <c r="B338" s="152">
        <v>172</v>
      </c>
    </row>
    <row r="339" spans="1:2" x14ac:dyDescent="0.25">
      <c r="A339" s="151" t="s">
        <v>414</v>
      </c>
      <c r="B339" s="152">
        <v>172.2</v>
      </c>
    </row>
    <row r="340" spans="1:2" x14ac:dyDescent="0.25">
      <c r="A340" s="151" t="s">
        <v>415</v>
      </c>
      <c r="B340" s="152">
        <v>173.1</v>
      </c>
    </row>
    <row r="341" spans="1:2" x14ac:dyDescent="0.25">
      <c r="A341" s="151" t="s">
        <v>416</v>
      </c>
      <c r="B341" s="152">
        <v>174.2</v>
      </c>
    </row>
    <row r="342" spans="1:2" x14ac:dyDescent="0.25">
      <c r="A342" s="151" t="s">
        <v>417</v>
      </c>
      <c r="B342" s="152">
        <v>174.4</v>
      </c>
    </row>
    <row r="343" spans="1:2" x14ac:dyDescent="0.25">
      <c r="A343" s="151" t="s">
        <v>418</v>
      </c>
      <c r="B343" s="152">
        <v>173.3</v>
      </c>
    </row>
    <row r="344" spans="1:2" x14ac:dyDescent="0.25">
      <c r="A344" s="151" t="s">
        <v>419</v>
      </c>
      <c r="B344" s="152">
        <v>174</v>
      </c>
    </row>
    <row r="345" spans="1:2" x14ac:dyDescent="0.25">
      <c r="A345" s="151" t="s">
        <v>420</v>
      </c>
      <c r="B345" s="152">
        <v>174.6</v>
      </c>
    </row>
    <row r="346" spans="1:2" x14ac:dyDescent="0.25">
      <c r="A346" s="151" t="s">
        <v>421</v>
      </c>
      <c r="B346" s="152">
        <v>174.3</v>
      </c>
    </row>
    <row r="347" spans="1:2" x14ac:dyDescent="0.25">
      <c r="A347" s="151" t="s">
        <v>422</v>
      </c>
      <c r="B347" s="152">
        <v>173.6</v>
      </c>
    </row>
    <row r="348" spans="1:2" x14ac:dyDescent="0.25">
      <c r="A348" s="151" t="s">
        <v>423</v>
      </c>
      <c r="B348" s="152">
        <v>173.4</v>
      </c>
    </row>
    <row r="349" spans="1:2" x14ac:dyDescent="0.25">
      <c r="A349" s="151" t="s">
        <v>424</v>
      </c>
      <c r="B349" s="152">
        <v>173.3</v>
      </c>
    </row>
    <row r="350" spans="1:2" x14ac:dyDescent="0.25">
      <c r="A350" s="151" t="s">
        <v>425</v>
      </c>
      <c r="B350" s="152">
        <v>173.8</v>
      </c>
    </row>
    <row r="351" spans="1:2" x14ac:dyDescent="0.25">
      <c r="A351" s="151" t="s">
        <v>426</v>
      </c>
      <c r="B351" s="152">
        <v>174.5</v>
      </c>
    </row>
    <row r="352" spans="1:2" x14ac:dyDescent="0.25">
      <c r="A352" s="151" t="s">
        <v>427</v>
      </c>
      <c r="B352" s="152">
        <v>175.7</v>
      </c>
    </row>
    <row r="353" spans="1:2" x14ac:dyDescent="0.25">
      <c r="A353" s="151" t="s">
        <v>428</v>
      </c>
      <c r="B353" s="152">
        <v>176.2</v>
      </c>
    </row>
    <row r="354" spans="1:2" x14ac:dyDescent="0.25">
      <c r="A354" s="151" t="s">
        <v>429</v>
      </c>
      <c r="B354" s="152">
        <v>176.2</v>
      </c>
    </row>
    <row r="355" spans="1:2" x14ac:dyDescent="0.25">
      <c r="A355" s="151" t="s">
        <v>430</v>
      </c>
      <c r="B355" s="152">
        <v>175.9</v>
      </c>
    </row>
    <row r="356" spans="1:2" x14ac:dyDescent="0.25">
      <c r="A356" s="151" t="s">
        <v>431</v>
      </c>
      <c r="B356" s="152">
        <v>176.4</v>
      </c>
    </row>
    <row r="357" spans="1:2" x14ac:dyDescent="0.25">
      <c r="A357" s="151" t="s">
        <v>432</v>
      </c>
      <c r="B357" s="152">
        <v>177.6</v>
      </c>
    </row>
    <row r="358" spans="1:2" x14ac:dyDescent="0.25">
      <c r="A358" s="151" t="s">
        <v>433</v>
      </c>
      <c r="B358" s="152">
        <v>177.9</v>
      </c>
    </row>
    <row r="359" spans="1:2" x14ac:dyDescent="0.25">
      <c r="A359" s="151" t="s">
        <v>434</v>
      </c>
      <c r="B359" s="152">
        <v>178.2</v>
      </c>
    </row>
    <row r="360" spans="1:2" x14ac:dyDescent="0.25">
      <c r="A360" s="151" t="s">
        <v>435</v>
      </c>
      <c r="B360" s="152">
        <v>178.5</v>
      </c>
    </row>
    <row r="361" spans="1:2" x14ac:dyDescent="0.25">
      <c r="A361" s="151" t="s">
        <v>436</v>
      </c>
      <c r="B361" s="152">
        <v>178.4</v>
      </c>
    </row>
    <row r="362" spans="1:2" x14ac:dyDescent="0.25">
      <c r="A362" s="151" t="s">
        <v>437</v>
      </c>
      <c r="B362" s="152">
        <v>179.3</v>
      </c>
    </row>
    <row r="363" spans="1:2" x14ac:dyDescent="0.25">
      <c r="A363" s="151" t="s">
        <v>438</v>
      </c>
      <c r="B363" s="152">
        <v>179.9</v>
      </c>
    </row>
    <row r="364" spans="1:2" x14ac:dyDescent="0.25">
      <c r="A364" s="151" t="s">
        <v>439</v>
      </c>
      <c r="B364" s="152">
        <v>181.2</v>
      </c>
    </row>
    <row r="365" spans="1:2" x14ac:dyDescent="0.25">
      <c r="A365" s="151" t="s">
        <v>440</v>
      </c>
      <c r="B365" s="152">
        <v>181.5</v>
      </c>
    </row>
    <row r="366" spans="1:2" x14ac:dyDescent="0.25">
      <c r="A366" s="151" t="s">
        <v>441</v>
      </c>
      <c r="B366" s="152">
        <v>181.3</v>
      </c>
    </row>
    <row r="367" spans="1:2" x14ac:dyDescent="0.25">
      <c r="A367" s="151" t="s">
        <v>442</v>
      </c>
      <c r="B367" s="152">
        <v>181.3</v>
      </c>
    </row>
    <row r="368" spans="1:2" x14ac:dyDescent="0.25">
      <c r="A368" s="151" t="s">
        <v>443</v>
      </c>
      <c r="B368" s="152">
        <v>181.6</v>
      </c>
    </row>
    <row r="369" spans="1:2" x14ac:dyDescent="0.25">
      <c r="A369" s="151" t="s">
        <v>444</v>
      </c>
      <c r="B369" s="152">
        <v>182.5</v>
      </c>
    </row>
    <row r="370" spans="1:2" x14ac:dyDescent="0.25">
      <c r="A370" s="151" t="s">
        <v>445</v>
      </c>
      <c r="B370" s="152">
        <v>182.6</v>
      </c>
    </row>
    <row r="371" spans="1:2" x14ac:dyDescent="0.25">
      <c r="A371" s="151" t="s">
        <v>446</v>
      </c>
      <c r="B371" s="152">
        <v>182.7</v>
      </c>
    </row>
    <row r="372" spans="1:2" x14ac:dyDescent="0.25">
      <c r="A372" s="151" t="s">
        <v>447</v>
      </c>
      <c r="B372" s="152">
        <v>183.5</v>
      </c>
    </row>
    <row r="373" spans="1:2" x14ac:dyDescent="0.25">
      <c r="A373" s="151" t="s">
        <v>448</v>
      </c>
      <c r="B373" s="152">
        <v>183.1</v>
      </c>
    </row>
    <row r="374" spans="1:2" x14ac:dyDescent="0.25">
      <c r="A374" s="151" t="s">
        <v>449</v>
      </c>
      <c r="B374" s="152">
        <v>183.8</v>
      </c>
    </row>
    <row r="375" spans="1:2" x14ac:dyDescent="0.25">
      <c r="A375" s="151" t="s">
        <v>450</v>
      </c>
      <c r="B375" s="152">
        <v>184.6</v>
      </c>
    </row>
    <row r="376" spans="1:2" x14ac:dyDescent="0.25">
      <c r="A376" s="151" t="s">
        <v>451</v>
      </c>
      <c r="B376" s="152">
        <v>185.7</v>
      </c>
    </row>
    <row r="377" spans="1:2" x14ac:dyDescent="0.25">
      <c r="A377" s="151" t="s">
        <v>452</v>
      </c>
      <c r="B377" s="152">
        <v>186.5</v>
      </c>
    </row>
    <row r="378" spans="1:2" x14ac:dyDescent="0.25">
      <c r="A378" s="151" t="s">
        <v>453</v>
      </c>
      <c r="B378" s="152">
        <v>186.8</v>
      </c>
    </row>
    <row r="379" spans="1:2" x14ac:dyDescent="0.25">
      <c r="A379" s="151" t="s">
        <v>454</v>
      </c>
      <c r="B379" s="152">
        <v>186.8</v>
      </c>
    </row>
    <row r="380" spans="1:2" x14ac:dyDescent="0.25">
      <c r="A380" s="151" t="s">
        <v>455</v>
      </c>
      <c r="B380" s="152">
        <v>187.4</v>
      </c>
    </row>
    <row r="381" spans="1:2" x14ac:dyDescent="0.25">
      <c r="A381" s="151" t="s">
        <v>456</v>
      </c>
      <c r="B381" s="152">
        <v>188.1</v>
      </c>
    </row>
    <row r="382" spans="1:2" x14ac:dyDescent="0.25">
      <c r="A382" s="151" t="s">
        <v>457</v>
      </c>
      <c r="B382" s="152">
        <v>188.6</v>
      </c>
    </row>
    <row r="383" spans="1:2" x14ac:dyDescent="0.25">
      <c r="A383" s="151" t="s">
        <v>458</v>
      </c>
      <c r="B383" s="152">
        <v>189</v>
      </c>
    </row>
    <row r="384" spans="1:2" x14ac:dyDescent="0.25">
      <c r="A384" s="151" t="s">
        <v>459</v>
      </c>
      <c r="B384" s="152">
        <v>189.9</v>
      </c>
    </row>
    <row r="385" spans="1:3" x14ac:dyDescent="0.25">
      <c r="A385" s="151" t="s">
        <v>460</v>
      </c>
      <c r="B385" s="152">
        <v>188.9</v>
      </c>
    </row>
    <row r="386" spans="1:3" x14ac:dyDescent="0.25">
      <c r="A386" s="151" t="s">
        <v>461</v>
      </c>
      <c r="B386" s="152">
        <v>189.6</v>
      </c>
    </row>
    <row r="387" spans="1:3" x14ac:dyDescent="0.25">
      <c r="A387" s="151" t="s">
        <v>462</v>
      </c>
      <c r="B387" s="152">
        <v>190.5</v>
      </c>
    </row>
    <row r="388" spans="1:3" x14ac:dyDescent="0.25">
      <c r="A388" s="151" t="s">
        <v>463</v>
      </c>
      <c r="B388" s="152">
        <v>191.6</v>
      </c>
    </row>
    <row r="389" spans="1:3" x14ac:dyDescent="0.25">
      <c r="A389" s="151" t="s">
        <v>464</v>
      </c>
      <c r="B389" s="152">
        <v>192</v>
      </c>
    </row>
    <row r="390" spans="1:3" x14ac:dyDescent="0.25">
      <c r="A390" s="151" t="s">
        <v>465</v>
      </c>
      <c r="B390" s="152">
        <v>192.2</v>
      </c>
    </row>
    <row r="391" spans="1:3" x14ac:dyDescent="0.25">
      <c r="A391" s="151" t="s">
        <v>466</v>
      </c>
      <c r="B391" s="152">
        <v>192.2</v>
      </c>
    </row>
    <row r="392" spans="1:3" x14ac:dyDescent="0.25">
      <c r="A392" s="151" t="s">
        <v>467</v>
      </c>
      <c r="B392" s="152">
        <v>192.6</v>
      </c>
    </row>
    <row r="393" spans="1:3" x14ac:dyDescent="0.25">
      <c r="A393" s="151" t="s">
        <v>468</v>
      </c>
      <c r="B393" s="152">
        <v>193.1</v>
      </c>
    </row>
    <row r="394" spans="1:3" x14ac:dyDescent="0.25">
      <c r="A394" s="151" t="s">
        <v>469</v>
      </c>
      <c r="B394" s="152">
        <v>193.3</v>
      </c>
    </row>
    <row r="395" spans="1:3" x14ac:dyDescent="0.25">
      <c r="A395" s="151" t="s">
        <v>470</v>
      </c>
      <c r="B395" s="152">
        <v>193.6</v>
      </c>
    </row>
    <row r="396" spans="1:3" x14ac:dyDescent="0.25">
      <c r="A396" s="151" t="s">
        <v>471</v>
      </c>
      <c r="B396" s="152">
        <v>194.1</v>
      </c>
    </row>
    <row r="397" spans="1:3" x14ac:dyDescent="0.25">
      <c r="A397" s="151" t="s">
        <v>472</v>
      </c>
      <c r="B397" s="152">
        <v>193.4</v>
      </c>
      <c r="C397" s="153"/>
    </row>
    <row r="398" spans="1:3" x14ac:dyDescent="0.25">
      <c r="A398" s="151" t="s">
        <v>473</v>
      </c>
      <c r="B398" s="152">
        <v>194.2</v>
      </c>
    </row>
    <row r="399" spans="1:3" x14ac:dyDescent="0.25">
      <c r="A399" s="151" t="s">
        <v>474</v>
      </c>
      <c r="B399" s="152">
        <v>195</v>
      </c>
    </row>
    <row r="400" spans="1:3" x14ac:dyDescent="0.25">
      <c r="A400" s="151" t="s">
        <v>475</v>
      </c>
      <c r="B400" s="152">
        <v>196.5</v>
      </c>
      <c r="C400" s="153"/>
    </row>
    <row r="401" spans="1:2" x14ac:dyDescent="0.25">
      <c r="A401" s="151" t="s">
        <v>476</v>
      </c>
      <c r="B401" s="152">
        <v>197.7</v>
      </c>
    </row>
    <row r="402" spans="1:2" x14ac:dyDescent="0.25">
      <c r="A402" s="151" t="s">
        <v>477</v>
      </c>
      <c r="B402" s="152">
        <v>198.5</v>
      </c>
    </row>
    <row r="403" spans="1:2" x14ac:dyDescent="0.25">
      <c r="A403" s="151" t="s">
        <v>478</v>
      </c>
      <c r="B403" s="152">
        <v>198.5</v>
      </c>
    </row>
    <row r="404" spans="1:2" x14ac:dyDescent="0.25">
      <c r="A404" s="151" t="s">
        <v>479</v>
      </c>
      <c r="B404" s="152">
        <v>199.2</v>
      </c>
    </row>
    <row r="405" spans="1:2" x14ac:dyDescent="0.25">
      <c r="A405" s="151" t="s">
        <v>480</v>
      </c>
      <c r="B405" s="152">
        <v>200.1</v>
      </c>
    </row>
    <row r="406" spans="1:2" x14ac:dyDescent="0.25">
      <c r="A406" s="151" t="s">
        <v>481</v>
      </c>
      <c r="B406" s="152">
        <v>200.4</v>
      </c>
    </row>
    <row r="407" spans="1:2" x14ac:dyDescent="0.25">
      <c r="A407" s="151" t="s">
        <v>482</v>
      </c>
      <c r="B407" s="152">
        <v>201.1</v>
      </c>
    </row>
    <row r="408" spans="1:2" x14ac:dyDescent="0.25">
      <c r="A408" s="151" t="s">
        <v>483</v>
      </c>
      <c r="B408" s="152">
        <v>202.7</v>
      </c>
    </row>
    <row r="409" spans="1:2" x14ac:dyDescent="0.25">
      <c r="A409" s="151" t="s">
        <v>484</v>
      </c>
      <c r="B409" s="152">
        <v>201.6</v>
      </c>
    </row>
    <row r="410" spans="1:2" x14ac:dyDescent="0.25">
      <c r="A410" s="151" t="s">
        <v>485</v>
      </c>
      <c r="B410" s="152">
        <v>203.1</v>
      </c>
    </row>
    <row r="411" spans="1:2" x14ac:dyDescent="0.25">
      <c r="A411" s="151" t="s">
        <v>486</v>
      </c>
      <c r="B411" s="152">
        <v>204.4</v>
      </c>
    </row>
    <row r="412" spans="1:2" x14ac:dyDescent="0.25">
      <c r="A412" s="151" t="s">
        <v>487</v>
      </c>
      <c r="B412" s="152">
        <v>205.4</v>
      </c>
    </row>
    <row r="413" spans="1:2" x14ac:dyDescent="0.25">
      <c r="A413" s="151" t="s">
        <v>488</v>
      </c>
      <c r="B413" s="152">
        <v>206.2</v>
      </c>
    </row>
    <row r="414" spans="1:2" x14ac:dyDescent="0.25">
      <c r="A414" s="151" t="s">
        <v>489</v>
      </c>
      <c r="B414" s="152">
        <v>207.3</v>
      </c>
    </row>
    <row r="415" spans="1:2" x14ac:dyDescent="0.25">
      <c r="A415" s="151" t="s">
        <v>490</v>
      </c>
      <c r="B415" s="152">
        <v>206.1</v>
      </c>
    </row>
    <row r="416" spans="1:2" x14ac:dyDescent="0.25">
      <c r="A416" s="151" t="s">
        <v>491</v>
      </c>
      <c r="B416" s="152">
        <v>207.3</v>
      </c>
    </row>
    <row r="417" spans="1:2" x14ac:dyDescent="0.25">
      <c r="A417" s="151" t="s">
        <v>492</v>
      </c>
      <c r="B417" s="152">
        <v>208</v>
      </c>
    </row>
    <row r="418" spans="1:2" x14ac:dyDescent="0.25">
      <c r="A418" s="151" t="s">
        <v>493</v>
      </c>
      <c r="B418" s="152">
        <v>208.9</v>
      </c>
    </row>
    <row r="419" spans="1:2" x14ac:dyDescent="0.25">
      <c r="A419" s="151" t="s">
        <v>494</v>
      </c>
      <c r="B419" s="152">
        <v>209.7</v>
      </c>
    </row>
    <row r="420" spans="1:2" x14ac:dyDescent="0.25">
      <c r="A420" s="151" t="s">
        <v>495</v>
      </c>
      <c r="B420" s="152">
        <v>210.9</v>
      </c>
    </row>
    <row r="421" spans="1:2" x14ac:dyDescent="0.25">
      <c r="A421" s="151" t="s">
        <v>496</v>
      </c>
      <c r="B421" s="152">
        <v>209.8</v>
      </c>
    </row>
    <row r="422" spans="1:2" x14ac:dyDescent="0.25">
      <c r="A422" s="151" t="s">
        <v>497</v>
      </c>
      <c r="B422" s="152">
        <v>211.4</v>
      </c>
    </row>
    <row r="423" spans="1:2" x14ac:dyDescent="0.25">
      <c r="A423" s="151" t="s">
        <v>498</v>
      </c>
      <c r="B423" s="152">
        <v>212.1</v>
      </c>
    </row>
    <row r="424" spans="1:2" x14ac:dyDescent="0.25">
      <c r="A424" s="151" t="s">
        <v>499</v>
      </c>
      <c r="B424" s="152">
        <v>214</v>
      </c>
    </row>
    <row r="425" spans="1:2" x14ac:dyDescent="0.25">
      <c r="A425" s="151" t="s">
        <v>500</v>
      </c>
      <c r="B425" s="152">
        <v>215.1</v>
      </c>
    </row>
    <row r="426" spans="1:2" x14ac:dyDescent="0.25">
      <c r="A426" s="151" t="s">
        <v>501</v>
      </c>
      <c r="B426" s="152">
        <v>216.8</v>
      </c>
    </row>
    <row r="427" spans="1:2" x14ac:dyDescent="0.25">
      <c r="A427" s="151" t="s">
        <v>502</v>
      </c>
      <c r="B427" s="152">
        <v>216.5</v>
      </c>
    </row>
    <row r="428" spans="1:2" x14ac:dyDescent="0.25">
      <c r="A428" s="151" t="s">
        <v>503</v>
      </c>
      <c r="B428" s="152">
        <v>217.2</v>
      </c>
    </row>
    <row r="429" spans="1:2" x14ac:dyDescent="0.25">
      <c r="A429" s="151" t="s">
        <v>504</v>
      </c>
      <c r="B429" s="152">
        <v>218.4</v>
      </c>
    </row>
    <row r="430" spans="1:2" x14ac:dyDescent="0.25">
      <c r="A430" s="151" t="s">
        <v>505</v>
      </c>
      <c r="B430" s="152">
        <v>217.7</v>
      </c>
    </row>
    <row r="431" spans="1:2" x14ac:dyDescent="0.25">
      <c r="A431" s="151" t="s">
        <v>506</v>
      </c>
      <c r="B431" s="152">
        <v>216</v>
      </c>
    </row>
    <row r="432" spans="1:2" x14ac:dyDescent="0.25">
      <c r="A432" s="151" t="s">
        <v>507</v>
      </c>
      <c r="B432" s="152">
        <v>212.9</v>
      </c>
    </row>
    <row r="433" spans="1:4" x14ac:dyDescent="0.25">
      <c r="A433" s="151" t="s">
        <v>508</v>
      </c>
      <c r="B433" s="152">
        <v>210.1</v>
      </c>
    </row>
    <row r="434" spans="1:4" x14ac:dyDescent="0.25">
      <c r="A434" s="151" t="s">
        <v>509</v>
      </c>
      <c r="B434" s="152">
        <v>211.4</v>
      </c>
    </row>
    <row r="435" spans="1:4" x14ac:dyDescent="0.25">
      <c r="A435" s="151" t="s">
        <v>510</v>
      </c>
      <c r="B435" s="152">
        <v>211.3</v>
      </c>
    </row>
    <row r="436" spans="1:4" x14ac:dyDescent="0.25">
      <c r="A436" s="151" t="s">
        <v>511</v>
      </c>
      <c r="B436" s="152">
        <v>211.5</v>
      </c>
      <c r="C436" s="153">
        <f>AVERAGE(B436:B447)</f>
        <v>215.76666666666662</v>
      </c>
      <c r="D436" t="s">
        <v>628</v>
      </c>
    </row>
    <row r="437" spans="1:4" x14ac:dyDescent="0.25">
      <c r="A437" s="151" t="s">
        <v>512</v>
      </c>
      <c r="B437" s="152">
        <v>212.8</v>
      </c>
    </row>
    <row r="438" spans="1:4" x14ac:dyDescent="0.25">
      <c r="A438" s="151" t="s">
        <v>513</v>
      </c>
      <c r="B438" s="152">
        <v>213.4</v>
      </c>
    </row>
    <row r="439" spans="1:4" x14ac:dyDescent="0.25">
      <c r="A439" s="151" t="s">
        <v>514</v>
      </c>
      <c r="B439" s="152">
        <v>213.4</v>
      </c>
    </row>
    <row r="440" spans="1:4" x14ac:dyDescent="0.25">
      <c r="A440" s="151" t="s">
        <v>515</v>
      </c>
      <c r="B440" s="152">
        <v>214.4</v>
      </c>
    </row>
    <row r="441" spans="1:4" x14ac:dyDescent="0.25">
      <c r="A441" s="151" t="s">
        <v>516</v>
      </c>
      <c r="B441" s="152">
        <v>215.3</v>
      </c>
    </row>
    <row r="442" spans="1:4" x14ac:dyDescent="0.25">
      <c r="A442" s="151" t="s">
        <v>517</v>
      </c>
      <c r="B442" s="152">
        <v>216</v>
      </c>
    </row>
    <row r="443" spans="1:4" x14ac:dyDescent="0.25">
      <c r="A443" s="151" t="s">
        <v>518</v>
      </c>
      <c r="B443" s="152">
        <v>216.6</v>
      </c>
    </row>
    <row r="444" spans="1:4" x14ac:dyDescent="0.25">
      <c r="A444" s="151" t="s">
        <v>519</v>
      </c>
      <c r="B444" s="152">
        <v>218</v>
      </c>
    </row>
    <row r="445" spans="1:4" x14ac:dyDescent="0.25">
      <c r="A445" s="151" t="s">
        <v>520</v>
      </c>
      <c r="B445" s="152">
        <v>217.9</v>
      </c>
    </row>
    <row r="446" spans="1:4" x14ac:dyDescent="0.25">
      <c r="A446" s="151" t="s">
        <v>521</v>
      </c>
      <c r="B446" s="152">
        <v>219.2</v>
      </c>
    </row>
    <row r="447" spans="1:4" x14ac:dyDescent="0.25">
      <c r="A447" s="151" t="s">
        <v>522</v>
      </c>
      <c r="B447" s="152">
        <v>220.7</v>
      </c>
    </row>
    <row r="448" spans="1:4" x14ac:dyDescent="0.25">
      <c r="A448" s="151" t="s">
        <v>523</v>
      </c>
      <c r="B448" s="152">
        <v>222.8</v>
      </c>
    </row>
    <row r="449" spans="1:2" x14ac:dyDescent="0.25">
      <c r="A449" s="151" t="s">
        <v>524</v>
      </c>
      <c r="B449" s="152">
        <v>223.6</v>
      </c>
    </row>
    <row r="450" spans="1:2" x14ac:dyDescent="0.25">
      <c r="A450" s="151" t="s">
        <v>525</v>
      </c>
      <c r="B450" s="152">
        <v>224.1</v>
      </c>
    </row>
    <row r="451" spans="1:2" x14ac:dyDescent="0.25">
      <c r="A451" s="151" t="s">
        <v>526</v>
      </c>
      <c r="B451" s="152">
        <v>223.6</v>
      </c>
    </row>
    <row r="452" spans="1:2" x14ac:dyDescent="0.25">
      <c r="A452" s="151" t="s">
        <v>527</v>
      </c>
      <c r="B452" s="152">
        <v>224.5</v>
      </c>
    </row>
    <row r="453" spans="1:2" x14ac:dyDescent="0.25">
      <c r="A453" s="151" t="s">
        <v>528</v>
      </c>
      <c r="B453" s="152">
        <v>225.3</v>
      </c>
    </row>
    <row r="454" spans="1:2" x14ac:dyDescent="0.25">
      <c r="A454" s="151" t="s">
        <v>529</v>
      </c>
      <c r="B454" s="152">
        <v>225.8</v>
      </c>
    </row>
    <row r="455" spans="1:2" x14ac:dyDescent="0.25">
      <c r="A455" s="151" t="s">
        <v>530</v>
      </c>
      <c r="B455" s="152">
        <v>226.8</v>
      </c>
    </row>
    <row r="456" spans="1:2" x14ac:dyDescent="0.25">
      <c r="A456" s="151" t="s">
        <v>531</v>
      </c>
      <c r="B456" s="152">
        <v>228.4</v>
      </c>
    </row>
    <row r="457" spans="1:2" x14ac:dyDescent="0.25">
      <c r="A457" s="151" t="s">
        <v>532</v>
      </c>
      <c r="B457" s="152">
        <v>229</v>
      </c>
    </row>
    <row r="458" spans="1:2" x14ac:dyDescent="0.25">
      <c r="A458" s="151" t="s">
        <v>533</v>
      </c>
      <c r="B458" s="152">
        <v>231.3</v>
      </c>
    </row>
    <row r="459" spans="1:2" x14ac:dyDescent="0.25">
      <c r="A459" s="151" t="s">
        <v>534</v>
      </c>
      <c r="B459" s="152">
        <v>232.5</v>
      </c>
    </row>
    <row r="460" spans="1:2" x14ac:dyDescent="0.25">
      <c r="A460" s="151" t="s">
        <v>535</v>
      </c>
      <c r="B460" s="152">
        <v>234.4</v>
      </c>
    </row>
    <row r="461" spans="1:2" x14ac:dyDescent="0.25">
      <c r="A461" s="151" t="s">
        <v>536</v>
      </c>
      <c r="B461" s="152">
        <v>235.2</v>
      </c>
    </row>
    <row r="462" spans="1:2" x14ac:dyDescent="0.25">
      <c r="A462" s="151" t="s">
        <v>537</v>
      </c>
      <c r="B462" s="152">
        <v>235.2</v>
      </c>
    </row>
    <row r="463" spans="1:2" x14ac:dyDescent="0.25">
      <c r="A463" s="151" t="s">
        <v>538</v>
      </c>
      <c r="B463" s="152">
        <v>234.7</v>
      </c>
    </row>
    <row r="464" spans="1:2" x14ac:dyDescent="0.25">
      <c r="A464" s="151" t="s">
        <v>539</v>
      </c>
      <c r="B464" s="152">
        <v>236.1</v>
      </c>
    </row>
    <row r="465" spans="1:2" x14ac:dyDescent="0.25">
      <c r="A465" s="151" t="s">
        <v>540</v>
      </c>
      <c r="B465" s="152">
        <v>237.9</v>
      </c>
    </row>
    <row r="466" spans="1:2" x14ac:dyDescent="0.25">
      <c r="A466" s="151" t="s">
        <v>541</v>
      </c>
      <c r="B466" s="152">
        <v>238</v>
      </c>
    </row>
    <row r="467" spans="1:2" x14ac:dyDescent="0.25">
      <c r="A467" s="151" t="s">
        <v>542</v>
      </c>
      <c r="B467" s="152">
        <v>238.5</v>
      </c>
    </row>
    <row r="468" spans="1:2" x14ac:dyDescent="0.25">
      <c r="A468" s="151" t="s">
        <v>543</v>
      </c>
      <c r="B468" s="152">
        <v>239.4</v>
      </c>
    </row>
    <row r="469" spans="1:2" x14ac:dyDescent="0.25">
      <c r="A469" s="151" t="s">
        <v>544</v>
      </c>
      <c r="B469" s="152">
        <v>238</v>
      </c>
    </row>
    <row r="470" spans="1:2" x14ac:dyDescent="0.25">
      <c r="A470" s="151" t="s">
        <v>545</v>
      </c>
      <c r="B470" s="152">
        <v>239.9</v>
      </c>
    </row>
    <row r="471" spans="1:2" x14ac:dyDescent="0.25">
      <c r="A471" s="151" t="s">
        <v>546</v>
      </c>
      <c r="B471" s="152">
        <v>240.8</v>
      </c>
    </row>
    <row r="472" spans="1:2" x14ac:dyDescent="0.25">
      <c r="A472" s="151" t="s">
        <v>547</v>
      </c>
      <c r="B472" s="152">
        <v>242.5</v>
      </c>
    </row>
    <row r="473" spans="1:2" x14ac:dyDescent="0.25">
      <c r="A473" s="151" t="s">
        <v>548</v>
      </c>
      <c r="B473" s="152">
        <v>242.4</v>
      </c>
    </row>
    <row r="474" spans="1:2" x14ac:dyDescent="0.25">
      <c r="A474" s="151" t="s">
        <v>549</v>
      </c>
      <c r="B474" s="152">
        <v>241.8</v>
      </c>
    </row>
    <row r="475" spans="1:2" x14ac:dyDescent="0.25">
      <c r="A475" s="151" t="s">
        <v>550</v>
      </c>
      <c r="B475" s="152">
        <v>242.1</v>
      </c>
    </row>
    <row r="476" spans="1:2" x14ac:dyDescent="0.25">
      <c r="A476" s="151" t="s">
        <v>551</v>
      </c>
      <c r="B476" s="152">
        <v>243</v>
      </c>
    </row>
    <row r="477" spans="1:2" x14ac:dyDescent="0.25">
      <c r="A477" s="151" t="s">
        <v>552</v>
      </c>
      <c r="B477" s="152">
        <v>244.2</v>
      </c>
    </row>
    <row r="478" spans="1:2" x14ac:dyDescent="0.25">
      <c r="A478" s="151" t="s">
        <v>553</v>
      </c>
      <c r="B478" s="152">
        <v>245.6</v>
      </c>
    </row>
    <row r="479" spans="1:2" x14ac:dyDescent="0.25">
      <c r="A479" s="151" t="s">
        <v>554</v>
      </c>
      <c r="B479" s="152">
        <v>245.6</v>
      </c>
    </row>
    <row r="480" spans="1:2" x14ac:dyDescent="0.25">
      <c r="A480" s="151" t="s">
        <v>555</v>
      </c>
      <c r="B480" s="152">
        <v>246.8</v>
      </c>
    </row>
    <row r="481" spans="1:2" x14ac:dyDescent="0.25">
      <c r="A481" s="151" t="s">
        <v>556</v>
      </c>
      <c r="B481" s="152">
        <v>245.8</v>
      </c>
    </row>
    <row r="482" spans="1:2" x14ac:dyDescent="0.25">
      <c r="A482" s="151" t="s">
        <v>557</v>
      </c>
      <c r="B482" s="152">
        <v>247.6</v>
      </c>
    </row>
    <row r="483" spans="1:2" x14ac:dyDescent="0.25">
      <c r="A483" s="151" t="s">
        <v>558</v>
      </c>
      <c r="B483" s="152">
        <v>248.7</v>
      </c>
    </row>
    <row r="484" spans="1:2" x14ac:dyDescent="0.25">
      <c r="A484" s="151" t="s">
        <v>559</v>
      </c>
      <c r="B484" s="152">
        <v>249.5</v>
      </c>
    </row>
    <row r="485" spans="1:2" x14ac:dyDescent="0.25">
      <c r="A485" s="151" t="s">
        <v>560</v>
      </c>
      <c r="B485" s="152">
        <v>250</v>
      </c>
    </row>
    <row r="486" spans="1:2" x14ac:dyDescent="0.25">
      <c r="A486" s="151" t="s">
        <v>561</v>
      </c>
      <c r="B486" s="152">
        <v>249.7</v>
      </c>
    </row>
    <row r="487" spans="1:2" x14ac:dyDescent="0.25">
      <c r="A487" s="151" t="s">
        <v>562</v>
      </c>
      <c r="B487" s="152">
        <v>249.7</v>
      </c>
    </row>
    <row r="488" spans="1:2" x14ac:dyDescent="0.25">
      <c r="A488" s="151" t="s">
        <v>563</v>
      </c>
      <c r="B488" s="152">
        <v>251</v>
      </c>
    </row>
    <row r="489" spans="1:2" x14ac:dyDescent="0.25">
      <c r="A489" s="151" t="s">
        <v>564</v>
      </c>
      <c r="B489" s="152">
        <v>251.9</v>
      </c>
    </row>
    <row r="490" spans="1:2" x14ac:dyDescent="0.25">
      <c r="A490" s="151" t="s">
        <v>565</v>
      </c>
      <c r="B490" s="152">
        <v>251.9</v>
      </c>
    </row>
    <row r="491" spans="1:2" x14ac:dyDescent="0.25">
      <c r="A491" s="151" t="s">
        <v>566</v>
      </c>
      <c r="B491" s="152">
        <v>252.1</v>
      </c>
    </row>
    <row r="492" spans="1:2" x14ac:dyDescent="0.25">
      <c r="A492" s="151" t="s">
        <v>567</v>
      </c>
      <c r="B492" s="152">
        <v>253.4</v>
      </c>
    </row>
    <row r="493" spans="1:2" x14ac:dyDescent="0.25">
      <c r="A493" s="151" t="s">
        <v>568</v>
      </c>
      <c r="B493" s="152">
        <v>252.6</v>
      </c>
    </row>
    <row r="494" spans="1:2" x14ac:dyDescent="0.25">
      <c r="A494" s="151" t="s">
        <v>569</v>
      </c>
      <c r="B494" s="152">
        <v>254.2</v>
      </c>
    </row>
    <row r="495" spans="1:2" x14ac:dyDescent="0.25">
      <c r="A495" s="151" t="s">
        <v>570</v>
      </c>
      <c r="B495" s="152">
        <v>254.8</v>
      </c>
    </row>
    <row r="496" spans="1:2" x14ac:dyDescent="0.25">
      <c r="A496" s="151" t="s">
        <v>571</v>
      </c>
      <c r="B496" s="152">
        <v>255.7</v>
      </c>
    </row>
    <row r="497" spans="1:4" x14ac:dyDescent="0.25">
      <c r="A497" s="151" t="s">
        <v>572</v>
      </c>
      <c r="B497" s="152">
        <v>255.9</v>
      </c>
    </row>
    <row r="498" spans="1:4" x14ac:dyDescent="0.25">
      <c r="A498" s="151" t="s">
        <v>573</v>
      </c>
      <c r="B498" s="152">
        <v>256.3</v>
      </c>
    </row>
    <row r="499" spans="1:4" x14ac:dyDescent="0.25">
      <c r="A499" s="151" t="s">
        <v>574</v>
      </c>
      <c r="B499" s="152">
        <v>256</v>
      </c>
    </row>
    <row r="500" spans="1:4" x14ac:dyDescent="0.25">
      <c r="A500" s="151" t="s">
        <v>575</v>
      </c>
      <c r="B500" s="152">
        <v>257</v>
      </c>
    </row>
    <row r="501" spans="1:4" x14ac:dyDescent="0.25">
      <c r="A501" s="151" t="s">
        <v>576</v>
      </c>
      <c r="B501" s="152">
        <v>257.60000000000002</v>
      </c>
    </row>
    <row r="502" spans="1:4" x14ac:dyDescent="0.25">
      <c r="A502" s="151" t="s">
        <v>577</v>
      </c>
      <c r="B502" s="152">
        <v>257.7</v>
      </c>
    </row>
    <row r="503" spans="1:4" x14ac:dyDescent="0.25">
      <c r="A503" s="151" t="s">
        <v>578</v>
      </c>
      <c r="B503" s="152">
        <v>257.10000000000002</v>
      </c>
    </row>
    <row r="504" spans="1:4" x14ac:dyDescent="0.25">
      <c r="A504" s="151" t="s">
        <v>579</v>
      </c>
      <c r="B504" s="152">
        <v>257.5</v>
      </c>
    </row>
    <row r="505" spans="1:4" x14ac:dyDescent="0.25">
      <c r="A505" s="151" t="s">
        <v>580</v>
      </c>
      <c r="B505" s="152">
        <v>255.4</v>
      </c>
    </row>
    <row r="506" spans="1:4" x14ac:dyDescent="0.25">
      <c r="A506" s="151" t="s">
        <v>581</v>
      </c>
      <c r="B506" s="152">
        <v>256.7</v>
      </c>
    </row>
    <row r="507" spans="1:4" x14ac:dyDescent="0.25">
      <c r="A507" s="151" t="s">
        <v>582</v>
      </c>
      <c r="B507" s="152">
        <v>257.10000000000002</v>
      </c>
    </row>
    <row r="508" spans="1:4" x14ac:dyDescent="0.25">
      <c r="A508" s="151" t="s">
        <v>583</v>
      </c>
      <c r="B508" s="152">
        <v>258</v>
      </c>
      <c r="C508" s="153">
        <f>AVERAGE(B508:B519)</f>
        <v>259.43333333333334</v>
      </c>
      <c r="D508">
        <f>C508/C436</f>
        <v>1.2023791132396109</v>
      </c>
    </row>
    <row r="509" spans="1:4" x14ac:dyDescent="0.25">
      <c r="A509" s="151" t="s">
        <v>584</v>
      </c>
      <c r="B509" s="152">
        <v>258.5</v>
      </c>
    </row>
    <row r="510" spans="1:4" x14ac:dyDescent="0.25">
      <c r="A510" s="151" t="s">
        <v>585</v>
      </c>
      <c r="B510" s="152">
        <v>258.89999999999998</v>
      </c>
    </row>
    <row r="511" spans="1:4" x14ac:dyDescent="0.25">
      <c r="A511" s="151" t="s">
        <v>586</v>
      </c>
      <c r="B511" s="152">
        <v>258.60000000000002</v>
      </c>
    </row>
    <row r="512" spans="1:4" x14ac:dyDescent="0.25">
      <c r="A512" s="151" t="s">
        <v>587</v>
      </c>
      <c r="B512" s="152">
        <v>259.8</v>
      </c>
    </row>
    <row r="513" spans="1:2" x14ac:dyDescent="0.25">
      <c r="A513" s="151" t="s">
        <v>588</v>
      </c>
      <c r="B513" s="152">
        <v>259.60000000000002</v>
      </c>
    </row>
    <row r="514" spans="1:2" x14ac:dyDescent="0.25">
      <c r="A514" s="151" t="s">
        <v>589</v>
      </c>
      <c r="B514" s="152">
        <v>259.5</v>
      </c>
    </row>
    <row r="515" spans="1:2" x14ac:dyDescent="0.25">
      <c r="A515" s="151" t="s">
        <v>590</v>
      </c>
      <c r="B515" s="152">
        <v>259.8</v>
      </c>
    </row>
    <row r="516" spans="1:2" x14ac:dyDescent="0.25">
      <c r="A516" s="151" t="s">
        <v>591</v>
      </c>
      <c r="B516" s="152">
        <v>260.60000000000002</v>
      </c>
    </row>
    <row r="517" spans="1:2" x14ac:dyDescent="0.25">
      <c r="A517" s="151" t="s">
        <v>592</v>
      </c>
      <c r="B517" s="152">
        <v>258.8</v>
      </c>
    </row>
    <row r="518" spans="1:2" x14ac:dyDescent="0.25">
      <c r="A518" s="151" t="s">
        <v>593</v>
      </c>
      <c r="B518" s="152">
        <v>260</v>
      </c>
    </row>
    <row r="519" spans="1:2" x14ac:dyDescent="0.25">
      <c r="A519" s="151" t="s">
        <v>594</v>
      </c>
      <c r="B519" s="152">
        <v>261.10000000000002</v>
      </c>
    </row>
    <row r="520" spans="1:2" x14ac:dyDescent="0.25">
      <c r="A520" s="151" t="s">
        <v>595</v>
      </c>
      <c r="B520" s="152">
        <v>261.39999999999998</v>
      </c>
    </row>
    <row r="521" spans="1:2" x14ac:dyDescent="0.25">
      <c r="A521" s="151" t="s">
        <v>596</v>
      </c>
      <c r="B521" s="152">
        <v>262.10000000000002</v>
      </c>
    </row>
    <row r="522" spans="1:2" x14ac:dyDescent="0.25">
      <c r="A522" s="151" t="s">
        <v>597</v>
      </c>
      <c r="B522" s="152">
        <v>263.10000000000002</v>
      </c>
    </row>
    <row r="523" spans="1:2" x14ac:dyDescent="0.25">
      <c r="A523" s="151" t="s">
        <v>598</v>
      </c>
      <c r="B523" s="152">
        <v>263.39999999999998</v>
      </c>
    </row>
    <row r="524" spans="1:2" x14ac:dyDescent="0.25">
      <c r="A524" s="151" t="s">
        <v>599</v>
      </c>
      <c r="B524" s="152">
        <v>264.39999999999998</v>
      </c>
    </row>
    <row r="525" spans="1:2" x14ac:dyDescent="0.25">
      <c r="A525" s="151" t="s">
        <v>600</v>
      </c>
      <c r="B525" s="152">
        <v>264.89999999999998</v>
      </c>
    </row>
    <row r="526" spans="1:2" x14ac:dyDescent="0.25">
      <c r="A526" s="151" t="s">
        <v>601</v>
      </c>
      <c r="B526" s="152">
        <v>264.8</v>
      </c>
    </row>
    <row r="527" spans="1:2" x14ac:dyDescent="0.25">
      <c r="A527" s="151" t="s">
        <v>602</v>
      </c>
      <c r="B527" s="152">
        <v>265.5</v>
      </c>
    </row>
    <row r="528" spans="1:2" x14ac:dyDescent="0.25">
      <c r="A528" s="151" t="s">
        <v>603</v>
      </c>
      <c r="B528" s="152">
        <v>267.10000000000002</v>
      </c>
    </row>
    <row r="529" spans="1:4" x14ac:dyDescent="0.25">
      <c r="A529" s="151" t="s">
        <v>604</v>
      </c>
      <c r="B529" s="152">
        <v>265.5</v>
      </c>
    </row>
    <row r="530" spans="1:4" x14ac:dyDescent="0.25">
      <c r="A530" s="151" t="s">
        <v>605</v>
      </c>
      <c r="B530" s="152">
        <v>268.39999999999998</v>
      </c>
    </row>
    <row r="531" spans="1:4" x14ac:dyDescent="0.25">
      <c r="A531" s="151" t="s">
        <v>606</v>
      </c>
      <c r="B531" s="152">
        <v>269.3</v>
      </c>
    </row>
    <row r="532" spans="1:4" x14ac:dyDescent="0.25">
      <c r="A532" s="151" t="s">
        <v>607</v>
      </c>
      <c r="B532" s="152">
        <v>270.60000000000002</v>
      </c>
    </row>
    <row r="533" spans="1:4" x14ac:dyDescent="0.25">
      <c r="A533" s="151" t="s">
        <v>608</v>
      </c>
      <c r="B533" s="152">
        <v>271.7</v>
      </c>
    </row>
    <row r="534" spans="1:4" x14ac:dyDescent="0.25">
      <c r="A534" s="151" t="s">
        <v>609</v>
      </c>
      <c r="B534" s="152">
        <v>272.3</v>
      </c>
    </row>
    <row r="535" spans="1:4" x14ac:dyDescent="0.25">
      <c r="A535" s="151" t="s">
        <v>610</v>
      </c>
      <c r="B535" s="152">
        <v>272.89999999999998</v>
      </c>
    </row>
    <row r="536" spans="1:4" x14ac:dyDescent="0.25">
      <c r="A536" s="151" t="s">
        <v>611</v>
      </c>
      <c r="B536" s="152">
        <v>274.7</v>
      </c>
    </row>
    <row r="537" spans="1:4" x14ac:dyDescent="0.25">
      <c r="A537" s="151" t="s">
        <v>612</v>
      </c>
      <c r="B537" s="152">
        <v>275.10000000000002</v>
      </c>
    </row>
    <row r="538" spans="1:4" x14ac:dyDescent="0.25">
      <c r="A538" s="151" t="s">
        <v>613</v>
      </c>
      <c r="B538" s="152">
        <v>275.3</v>
      </c>
    </row>
    <row r="539" spans="1:4" x14ac:dyDescent="0.25">
      <c r="A539" s="151" t="s">
        <v>614</v>
      </c>
      <c r="B539" s="152">
        <v>275.8</v>
      </c>
    </row>
    <row r="540" spans="1:4" x14ac:dyDescent="0.25">
      <c r="A540" s="151" t="s">
        <v>615</v>
      </c>
      <c r="B540" s="152">
        <v>278.10000000000002</v>
      </c>
    </row>
    <row r="541" spans="1:4" x14ac:dyDescent="0.25">
      <c r="A541" s="151" t="s">
        <v>616</v>
      </c>
      <c r="B541" s="152">
        <v>276</v>
      </c>
    </row>
    <row r="542" spans="1:4" x14ac:dyDescent="0.25">
      <c r="A542" s="151" t="s">
        <v>617</v>
      </c>
      <c r="B542" s="152">
        <v>278.10000000000002</v>
      </c>
    </row>
    <row r="543" spans="1:4" x14ac:dyDescent="0.25">
      <c r="A543" s="151" t="s">
        <v>618</v>
      </c>
      <c r="B543" s="152">
        <v>278.3</v>
      </c>
    </row>
    <row r="544" spans="1:4" x14ac:dyDescent="0.25">
      <c r="A544" s="151" t="s">
        <v>619</v>
      </c>
      <c r="B544" s="152">
        <v>279.7</v>
      </c>
      <c r="C544" s="153">
        <f>AVERAGE(B544:B555)</f>
        <v>283.46784452296816</v>
      </c>
      <c r="D544" t="s">
        <v>653</v>
      </c>
    </row>
    <row r="545" spans="1:4" x14ac:dyDescent="0.25">
      <c r="A545" s="151" t="s">
        <v>620</v>
      </c>
      <c r="B545" s="152">
        <v>280.7</v>
      </c>
    </row>
    <row r="546" spans="1:4" x14ac:dyDescent="0.25">
      <c r="A546" s="151" t="s">
        <v>621</v>
      </c>
      <c r="B546" s="152">
        <v>281.5</v>
      </c>
    </row>
    <row r="547" spans="1:4" x14ac:dyDescent="0.25">
      <c r="A547" s="151" t="s">
        <v>622</v>
      </c>
      <c r="B547" s="152">
        <v>281.7</v>
      </c>
    </row>
    <row r="548" spans="1:4" x14ac:dyDescent="0.25">
      <c r="A548" s="151" t="s">
        <v>623</v>
      </c>
      <c r="B548" s="152">
        <v>284.2</v>
      </c>
    </row>
    <row r="549" spans="1:4" x14ac:dyDescent="0.25">
      <c r="A549" s="151" t="s">
        <v>624</v>
      </c>
      <c r="B549" s="152">
        <v>284.10000000000002</v>
      </c>
    </row>
    <row r="550" spans="1:4" x14ac:dyDescent="0.25">
      <c r="A550" s="151" t="s">
        <v>625</v>
      </c>
      <c r="B550" s="152">
        <v>284.5</v>
      </c>
    </row>
    <row r="551" spans="1:4" x14ac:dyDescent="0.25">
      <c r="A551" s="151" t="s">
        <v>626</v>
      </c>
      <c r="B551" s="152">
        <v>284.60000000000002</v>
      </c>
    </row>
    <row r="552" spans="1:4" x14ac:dyDescent="0.25">
      <c r="A552" s="151" t="s">
        <v>627</v>
      </c>
      <c r="B552" s="152">
        <v>285.60000000000002</v>
      </c>
    </row>
    <row r="553" spans="1:4" x14ac:dyDescent="0.25">
      <c r="A553" s="168" t="s">
        <v>642</v>
      </c>
      <c r="B553" s="169">
        <v>283</v>
      </c>
    </row>
    <row r="554" spans="1:4" x14ac:dyDescent="0.25">
      <c r="A554" s="170" t="s">
        <v>651</v>
      </c>
      <c r="B554" s="171">
        <v>285</v>
      </c>
      <c r="C554">
        <f>B554/B553</f>
        <v>1.0070671378091873</v>
      </c>
      <c r="D554" t="s">
        <v>654</v>
      </c>
    </row>
    <row r="555" spans="1:4" x14ac:dyDescent="0.25">
      <c r="A555" s="154" t="s">
        <v>652</v>
      </c>
      <c r="B555" s="155">
        <f>B554*C554</f>
        <v>287.0141342756184</v>
      </c>
      <c r="D555" s="173" t="s">
        <v>655</v>
      </c>
    </row>
  </sheetData>
  <hyperlinks>
    <hyperlink ref="G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6"/>
  <sheetViews>
    <sheetView workbookViewId="0">
      <selection activeCell="E14" sqref="E14"/>
    </sheetView>
  </sheetViews>
  <sheetFormatPr defaultRowHeight="15" x14ac:dyDescent="0.25"/>
  <cols>
    <col min="3" max="5" width="19.85546875" customWidth="1"/>
    <col min="6" max="7" width="2.28515625" customWidth="1"/>
    <col min="8" max="9" width="12.42578125" customWidth="1"/>
  </cols>
  <sheetData>
    <row r="3" spans="2:9" ht="15.75" thickBot="1" x14ac:dyDescent="0.3">
      <c r="B3" s="167" t="s">
        <v>643</v>
      </c>
      <c r="C3" s="167"/>
    </row>
    <row r="4" spans="2:9" ht="30.75" thickBot="1" x14ac:dyDescent="0.3">
      <c r="C4" s="180" t="s">
        <v>650</v>
      </c>
      <c r="D4" s="181" t="s">
        <v>645</v>
      </c>
      <c r="E4" s="182" t="s">
        <v>646</v>
      </c>
      <c r="F4" s="183"/>
      <c r="G4" s="184"/>
      <c r="H4" s="180" t="s">
        <v>649</v>
      </c>
      <c r="I4" s="182" t="s">
        <v>647</v>
      </c>
    </row>
    <row r="5" spans="2:9" ht="15.75" thickBot="1" x14ac:dyDescent="0.3">
      <c r="B5" s="177" t="s">
        <v>644</v>
      </c>
      <c r="C5" s="174">
        <f>'RPI Table'!C304</f>
        <v>163.75833333333335</v>
      </c>
      <c r="D5" s="175">
        <f>'RPI Table'!C436</f>
        <v>215.76666666666662</v>
      </c>
      <c r="E5" s="176">
        <f>'RPI Table'!C544</f>
        <v>283.46784452296816</v>
      </c>
      <c r="F5" s="178"/>
      <c r="G5" s="179"/>
      <c r="H5" s="174">
        <f>D5/C5</f>
        <v>1.3175919800519054</v>
      </c>
      <c r="I5" s="176">
        <f>E5/D5</f>
        <v>1.3137703283931788</v>
      </c>
    </row>
    <row r="6" spans="2:9" x14ac:dyDescent="0.25">
      <c r="D6" s="161"/>
      <c r="E6" s="161"/>
      <c r="F6" s="165"/>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NTS OCC Methodology</vt:lpstr>
      <vt:lpstr>RPI Table</vt:lpstr>
      <vt:lpstr>Inflation assumptions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National Grid</cp:lastModifiedBy>
  <dcterms:created xsi:type="dcterms:W3CDTF">2019-02-01T11:03:01Z</dcterms:created>
  <dcterms:modified xsi:type="dcterms:W3CDTF">2019-04-09T11:40:29Z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1486015026</vt:i4>
  </property>
  <property fmtid="{D5CDD505-2E9C-101B-9397-08002B2CF9AE}" pid="3" name="_NewReviewCycle">
    <vt:lpwstr/>
  </property>
  <property fmtid="{D5CDD505-2E9C-101B-9397-08002B2CF9AE}" pid="4" name="_EmailSubject">
    <vt:lpwstr>EXT || RE: 678 Files for upload</vt:lpwstr>
  </property>
  <property fmtid="{D5CDD505-2E9C-101B-9397-08002B2CF9AE}" pid="5" name="_AuthorEmail">
    <vt:lpwstr>James.Gudge@nationalgrid.com</vt:lpwstr>
  </property>
  <property fmtid="{D5CDD505-2E9C-101B-9397-08002B2CF9AE}" pid="6" name="_AuthorEmailDisplayName">
    <vt:lpwstr>Gudge, James</vt:lpwstr>
  </property>
</Properties>
</file>